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ashidzeg\Desktop\"/>
    </mc:Choice>
  </mc:AlternateContent>
  <bookViews>
    <workbookView xWindow="-105" yWindow="-105" windowWidth="23250" windowHeight="12720"/>
  </bookViews>
  <sheets>
    <sheet name="РВС №219" sheetId="1" r:id="rId1"/>
  </sheets>
  <definedNames>
    <definedName name="_xlnm.Print_Titles" localSheetId="0">'РВС №219'!$9:$11</definedName>
    <definedName name="Коэфициент" localSheetId="0">#REF!</definedName>
    <definedName name="Коэфициент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5" i="1" l="1"/>
  <c r="G38" i="1"/>
  <c r="G39" i="1"/>
  <c r="G40" i="1"/>
  <c r="G41" i="1"/>
  <c r="G42" i="1"/>
  <c r="G43" i="1"/>
  <c r="G36" i="1"/>
  <c r="G37" i="1"/>
  <c r="G35" i="1"/>
  <c r="G23" i="1"/>
  <c r="G25" i="1"/>
  <c r="G26" i="1"/>
  <c r="G24" i="1"/>
  <c r="G125" i="1"/>
  <c r="G124" i="1"/>
  <c r="E121" i="1"/>
  <c r="G121" i="1" s="1"/>
  <c r="E120" i="1"/>
  <c r="E122" i="1"/>
  <c r="G122" i="1" s="1"/>
  <c r="G120" i="1"/>
  <c r="E117" i="1"/>
  <c r="G117" i="1" s="1"/>
  <c r="E116" i="1"/>
  <c r="G116" i="1" s="1"/>
  <c r="E118" i="1"/>
  <c r="G118" i="1" s="1"/>
  <c r="E114" i="1"/>
  <c r="G114" i="1" s="1"/>
  <c r="E113" i="1"/>
  <c r="G113" i="1" s="1"/>
  <c r="E112" i="1"/>
  <c r="G112" i="1" s="1"/>
  <c r="E108" i="1"/>
  <c r="G108" i="1" s="1"/>
  <c r="E109" i="1"/>
  <c r="G109" i="1" s="1"/>
  <c r="G110" i="1"/>
  <c r="E104" i="1"/>
  <c r="G104" i="1" s="1"/>
  <c r="E105" i="1"/>
  <c r="G105" i="1" s="1"/>
  <c r="E106" i="1"/>
  <c r="G106" i="1" s="1"/>
  <c r="E101" i="1"/>
  <c r="G101" i="1" s="1"/>
  <c r="E100" i="1"/>
  <c r="G100" i="1" s="1"/>
  <c r="E102" i="1"/>
  <c r="G102" i="1" s="1"/>
  <c r="E97" i="1"/>
  <c r="G97" i="1" s="1"/>
  <c r="G96" i="1"/>
  <c r="E95" i="1"/>
  <c r="E92" i="1"/>
  <c r="G92" i="1" s="1"/>
  <c r="E81" i="1"/>
  <c r="G81" i="1" s="1"/>
  <c r="E93" i="1"/>
  <c r="G93" i="1" s="1"/>
  <c r="E91" i="1"/>
  <c r="G91" i="1" s="1"/>
  <c r="E88" i="1"/>
  <c r="G88" i="1" s="1"/>
  <c r="E89" i="1"/>
  <c r="G89" i="1" s="1"/>
  <c r="E87" i="1"/>
  <c r="G87" i="1" s="1"/>
  <c r="G83" i="1"/>
  <c r="G84" i="1"/>
  <c r="G85" i="1"/>
  <c r="E82" i="1"/>
  <c r="G82" i="1" s="1"/>
  <c r="E80" i="1"/>
  <c r="G80" i="1" s="1"/>
  <c r="E77" i="1"/>
  <c r="G77" i="1" s="1"/>
  <c r="E78" i="1"/>
  <c r="G78" i="1" s="1"/>
  <c r="E76" i="1"/>
  <c r="G76" i="1" s="1"/>
  <c r="E73" i="1"/>
  <c r="G73" i="1" s="1"/>
  <c r="E74" i="1"/>
  <c r="G74" i="1" s="1"/>
  <c r="E72" i="1"/>
  <c r="G72" i="1" s="1"/>
  <c r="G70" i="1"/>
  <c r="E68" i="1"/>
  <c r="G68" i="1" s="1"/>
  <c r="E69" i="1"/>
  <c r="G69" i="1" s="1"/>
  <c r="E67" i="1"/>
  <c r="G67" i="1" s="1"/>
  <c r="E65" i="1"/>
  <c r="G65" i="1" s="1"/>
  <c r="E64" i="1"/>
  <c r="G64" i="1" s="1"/>
  <c r="E63" i="1"/>
  <c r="G63" i="1" s="1"/>
  <c r="E60" i="1"/>
  <c r="G60" i="1" s="1"/>
  <c r="G61" i="1"/>
  <c r="E59" i="1"/>
  <c r="G59" i="1" s="1"/>
  <c r="E58" i="1"/>
  <c r="G58" i="1" s="1"/>
  <c r="E56" i="1"/>
  <c r="G56" i="1" s="1"/>
  <c r="E55" i="1"/>
  <c r="G55" i="1" s="1"/>
  <c r="E54" i="1"/>
  <c r="G54" i="1" s="1"/>
  <c r="E52" i="1"/>
  <c r="G52" i="1" s="1"/>
  <c r="E50" i="1"/>
  <c r="G50" i="1" s="1"/>
  <c r="E51" i="1"/>
  <c r="G51" i="1" s="1"/>
  <c r="E49" i="1"/>
  <c r="G49" i="1" s="1"/>
  <c r="E34" i="1"/>
  <c r="G34" i="1" s="1"/>
  <c r="E46" i="1"/>
  <c r="G46" i="1" s="1"/>
  <c r="E47" i="1"/>
  <c r="G47" i="1" s="1"/>
  <c r="E45" i="1"/>
  <c r="G45" i="1" s="1"/>
  <c r="E33" i="1"/>
  <c r="G33" i="1" s="1"/>
  <c r="E32" i="1"/>
  <c r="G32" i="1" s="1"/>
  <c r="E29" i="1"/>
  <c r="G29" i="1" s="1"/>
  <c r="E28" i="1"/>
  <c r="G28" i="1" s="1"/>
  <c r="E30" i="1"/>
  <c r="G30" i="1" s="1"/>
  <c r="E21" i="1"/>
  <c r="G21" i="1" s="1"/>
  <c r="E20" i="1"/>
  <c r="E17" i="1"/>
  <c r="G17" i="1" s="1"/>
  <c r="E16" i="1"/>
  <c r="E138" i="1"/>
  <c r="E127" i="1"/>
  <c r="E13" i="1" l="1"/>
  <c r="G13" i="1" s="1"/>
  <c r="G127" i="1" l="1"/>
  <c r="E19" i="1" l="1"/>
  <c r="E15" i="1"/>
  <c r="G20" i="1"/>
  <c r="G16" i="1"/>
  <c r="G19" i="1" l="1"/>
  <c r="G15" i="1"/>
  <c r="G128" i="1" l="1"/>
  <c r="G129" i="1" s="1"/>
  <c r="G130" i="1" l="1"/>
  <c r="G131" i="1" l="1"/>
  <c r="G132" i="1" s="1"/>
  <c r="G133" i="1" l="1"/>
  <c r="G134" i="1" s="1"/>
  <c r="G136" i="1" l="1"/>
  <c r="G137" i="1" s="1"/>
  <c r="C7" i="1" s="1"/>
  <c r="G135" i="1"/>
  <c r="G138" i="1" l="1"/>
</calcChain>
</file>

<file path=xl/sharedStrings.xml><?xml version="1.0" encoding="utf-8"?>
<sst xmlns="http://schemas.openxmlformats.org/spreadsheetml/2006/main" count="285" uniqueCount="113">
  <si>
    <t>(локальная ресурсная смета)</t>
  </si>
  <si>
    <t>(наименование работ и затрат, наименование объекта)</t>
  </si>
  <si>
    <t>Сметная стоимость:</t>
  </si>
  <si>
    <t>№ п.п.</t>
  </si>
  <si>
    <t>Обоснование</t>
  </si>
  <si>
    <t>Наименование работ и затрат</t>
  </si>
  <si>
    <t>Ед. изм.</t>
  </si>
  <si>
    <t/>
  </si>
  <si>
    <t>на ед.</t>
  </si>
  <si>
    <t>по проекту</t>
  </si>
  <si>
    <t>маш.-ч</t>
  </si>
  <si>
    <t>т</t>
  </si>
  <si>
    <t>Машины и механизмы</t>
  </si>
  <si>
    <t>Непредвиденные расходы</t>
  </si>
  <si>
    <t>Итого:</t>
  </si>
  <si>
    <t>Накладные расходы</t>
  </si>
  <si>
    <t>Плановые накопления</t>
  </si>
  <si>
    <t>НДС</t>
  </si>
  <si>
    <t>Всего:</t>
  </si>
  <si>
    <t>м3</t>
  </si>
  <si>
    <t>м2</t>
  </si>
  <si>
    <t>USD</t>
  </si>
  <si>
    <t>Затраты труда рабочих</t>
  </si>
  <si>
    <t>GEL</t>
  </si>
  <si>
    <t xml:space="preserve">ЛОКАЛЬНЫЙ СМЕТНЫЙ РАСЧЕТ </t>
  </si>
  <si>
    <t>Металлоконструкции индивидуальные из ст. различного профиля</t>
  </si>
  <si>
    <t>Подготовительные работы и мобилизация</t>
  </si>
  <si>
    <t>Демобилизация по окончанию демонтажных работ</t>
  </si>
  <si>
    <t>Демонтаж всех временных и иных строительных сооружений; Восстановление всех элементов площадки за пределами объекта до уровней и состояния, какими они были на момент завершения подготовки площадки; Полная уборка строительного мусора с территории площадки после завершения работ.</t>
  </si>
  <si>
    <t>м</t>
  </si>
  <si>
    <t>шт</t>
  </si>
  <si>
    <t>100 м3</t>
  </si>
  <si>
    <t>Устройство основания под фундаменты гравийного</t>
  </si>
  <si>
    <t>Гравий для строительных работ, фракция 20-40мм</t>
  </si>
  <si>
    <t>Укладка металлической сетки в цементобетонное покрытие</t>
  </si>
  <si>
    <t>1000 м2</t>
  </si>
  <si>
    <t>Устройство цементобетонных однослойных покрытий средствами малой механизации при толщине слоя 10 см</t>
  </si>
  <si>
    <t>Смеси бетонные тяжелого бетона В15</t>
  </si>
  <si>
    <t>Вспомогательные материалы</t>
  </si>
  <si>
    <t>Раздел 2. Контроль качеств сварныхшвов</t>
  </si>
  <si>
    <t>Контроль качества сварных соединений оборудования, конструкций и закладных деталей внешним осмотром и измерением, выполняемый на монтаже, с одной стороны</t>
  </si>
  <si>
    <t>Контроль качества сварных соединений оборудования, конструкций и закладных деталей внешним осмотром и измерением, выполняемый на монтаже, с двух сторон</t>
  </si>
  <si>
    <t>Смета составлена по рыночным ценам на I квартал 2023 г.</t>
  </si>
  <si>
    <t>Итого прямые расходы:</t>
  </si>
  <si>
    <t>Количество</t>
  </si>
  <si>
    <t>09-02-009-03</t>
  </si>
  <si>
    <t>38-01-002-01</t>
  </si>
  <si>
    <t>38-01-006-01</t>
  </si>
  <si>
    <t>11-01-002-03</t>
  </si>
  <si>
    <t>27-06-009-01</t>
  </si>
  <si>
    <t>11-01-014-01</t>
  </si>
  <si>
    <t>38-01-004-02</t>
  </si>
  <si>
    <t>38-01-004-01</t>
  </si>
  <si>
    <t>09-03-029-01</t>
  </si>
  <si>
    <t>09-03-030-01</t>
  </si>
  <si>
    <t>Примечание</t>
  </si>
  <si>
    <t>Сметная стоимость Лари</t>
  </si>
  <si>
    <t>А</t>
  </si>
  <si>
    <t>Б</t>
  </si>
  <si>
    <t>подпись и печать</t>
  </si>
  <si>
    <t>Исполнитель: _________________________________</t>
  </si>
  <si>
    <t>комп. / лари</t>
  </si>
  <si>
    <t>Капитальный ремонт резервуара РВС-10000 №219</t>
  </si>
  <si>
    <t>Демонтаж резервуара стальных вертикальных цилиндрических для нефти и нефтепродуктов без понтона вместимостью до 10000 м3 (металлоконструкции резервуара)</t>
  </si>
  <si>
    <t>т / комп.</t>
  </si>
  <si>
    <t>Изготовление мелких индивидуальных листовых конструкций массой до 0,5 т (вставок 1-го пояса, накладных пластинна VI пояса)</t>
  </si>
  <si>
    <t>в том числе материал: Ст3сп5-св</t>
  </si>
  <si>
    <t>Прокат листовой ГОСТ 14637-89 сечением - 12х1500х6000, средняя масса сборочной единицы до 0,5 т</t>
  </si>
  <si>
    <t>Прокат листовой ГОСТ 14637-89 сечением - 8х1500х6000, средняя масса сборочной единицы до 0,5 т</t>
  </si>
  <si>
    <t>Прокат листовой ГОСТ 14637-89 сечением - 4х1500х6000, средняя масса сборочной единицы до 0,5 т</t>
  </si>
  <si>
    <t>Трубы стальные электросварные прямошоеные из стали марки ВСт3сп-5, наружный диаметр 273 мм, толщина стенки 6 мм</t>
  </si>
  <si>
    <t>Монтаж из листовой стали массой до 0,25 т вставок 1-го пояса, накладных пластинна VI пояса</t>
  </si>
  <si>
    <t>09-02-014-11</t>
  </si>
  <si>
    <t>Изготовление сектора жесткости на V
поясе и кольца жесткости на VII поясе</t>
  </si>
  <si>
    <t>Прокат полосовой из стали марки Ст3пс3- св, -4х40 мм</t>
  </si>
  <si>
    <t>Прокат полосовой из стали марки Ст3псЗ- св. -3х150 мм</t>
  </si>
  <si>
    <t>Прокат листовой ГОСТ 14637-89 сечением - 6х1500х6000, средняя масса сборочной единицы до 0,5 т</t>
  </si>
  <si>
    <t xml:space="preserve">Прокат угловой равнополочный из стали марки Ст3сп, ширина полок 80х8 мм </t>
  </si>
  <si>
    <t>Прокат угловой равнополочный из сталимарки Ст3сп3-св, 63х6 мм</t>
  </si>
  <si>
    <t>Прокат угловой равнополочный из сталимарки Ст3сn3-св, 50х4 мм</t>
  </si>
  <si>
    <t>Рифленый прокат горячекатаный в листахиз стали марки Ст3сп3-св,  толщина основания листа 4 мм</t>
  </si>
  <si>
    <t>Монтаж из листовой стали массой свыше  0,25 т сектора жесткости на V поясе и кольца жесткости на VII поясе</t>
  </si>
  <si>
    <t>Изготовление обходной площадки кольца жесткости</t>
  </si>
  <si>
    <t>Монтаж опорных конструкций обходной площадки кольца жесткости</t>
  </si>
  <si>
    <t>Лестница вертикальная</t>
  </si>
  <si>
    <t xml:space="preserve">Изготовление лестниц прямолинейных и криволинейных с ограждением </t>
  </si>
  <si>
    <t>Монтаж лестниц и площадок прямолинейных  и криволинейных, пожарных с ограждением</t>
  </si>
  <si>
    <t xml:space="preserve">Изготовление конструктивных элементов и монтажных приспособлений для демонтажа крыши резервуара </t>
  </si>
  <si>
    <t>38-01-006-02</t>
  </si>
  <si>
    <t>Монтаж из листовой стали массой до 0,25 т конструктивных элементов и монтажных приспособлений для демонтажа крыши резервуара</t>
  </si>
  <si>
    <t>09-02-014-12</t>
  </si>
  <si>
    <t>Демонтаж из листовой стали массой до 0,25 т конструктивных элементов и монтажных приспособлений для демонтажа крыши резервуара</t>
  </si>
  <si>
    <t>Изготовление переливного патрубка Ду 250-1шт</t>
  </si>
  <si>
    <t>Фланцы из углеродистой стали ВСт3сп2,3 плоские приварные с соединительным выступом, Ру 2,5 МПа [25 кгс/см2], диаметр условного прохода 250 мм</t>
  </si>
  <si>
    <t>Заглушка ДУ250 t=6мм</t>
  </si>
  <si>
    <t>Крепежные изделия:
Болты строительные с гайками и шайбами</t>
  </si>
  <si>
    <t>Монтаж переливного патрубка Ду 250 -1шт</t>
  </si>
  <si>
    <t>09-02-015-02</t>
  </si>
  <si>
    <t>Обварка усиливающей пластины. толщина металла до 8 мм</t>
  </si>
  <si>
    <t>Испытание резервуара на водонепроницаемость</t>
  </si>
  <si>
    <t>м3 / комп.</t>
  </si>
  <si>
    <t>м / комп.</t>
  </si>
  <si>
    <t>Раздел 1. Устройство отмостки</t>
  </si>
  <si>
    <t>Разборка цементнобетонных покрытий</t>
  </si>
  <si>
    <t>46-04-003-03</t>
  </si>
  <si>
    <t>1 м3</t>
  </si>
  <si>
    <t>Сетка из проволоки ф4</t>
  </si>
  <si>
    <t>Устройство дорожных покрытий из сборных железобетонных плит прямоугольных площадью до 10,5 м2</t>
  </si>
  <si>
    <t>100 м2</t>
  </si>
  <si>
    <t>м2 / комп.</t>
  </si>
  <si>
    <t>27-06-001-03</t>
  </si>
  <si>
    <t>Разборка дорожных покрытий из сборных железобетонных плит прямоугольных площадью до 10,5 м2 (К=0,8)</t>
  </si>
  <si>
    <t>Подготовка объекта для строй-монтажных работ. Демонтаж бетонной стены обвалования на ширину 6 м. Устройство дороги по периметру резервуара. Устройство временных здании. Мобилизация строительной техники.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</si>
</sst>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#,##0_ ;\-#,##0\ "/>
    <numFmt numFmtId="165" formatCode="0.000"/>
    <numFmt numFmtId="166" formatCode="_-* #,##0.00_р_._-;\-* #,##0.00_р_._-;_-* &quot;-&quot;??_р_._-;_-@_-"/>
    <numFmt numFmtId="167" formatCode="#,##0\ [$GEL]"/>
    <numFmt numFmtId="168" formatCode="0.0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KAD NUSX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sz val="8"/>
      <name val="Arial"/>
      <family val="2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6" fillId="0" borderId="0"/>
    <xf numFmtId="0" fontId="8" fillId="0" borderId="0"/>
    <xf numFmtId="166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9" fillId="0" borderId="0"/>
    <xf numFmtId="166" fontId="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13" xfId="2" applyFont="1" applyBorder="1"/>
    <xf numFmtId="0" fontId="3" fillId="0" borderId="4" xfId="2" applyFont="1" applyBorder="1"/>
    <xf numFmtId="0" fontId="3" fillId="0" borderId="10" xfId="2" applyFont="1" applyBorder="1"/>
    <xf numFmtId="0" fontId="3" fillId="0" borderId="12" xfId="2" applyFont="1" applyBorder="1"/>
    <xf numFmtId="0" fontId="3" fillId="0" borderId="5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10" fillId="0" borderId="0" xfId="0" applyFont="1"/>
    <xf numFmtId="0" fontId="3" fillId="0" borderId="1" xfId="2" applyFont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/>
    </xf>
    <xf numFmtId="0" fontId="7" fillId="0" borderId="7" xfId="2" applyFont="1" applyBorder="1" applyAlignment="1">
      <alignment horizontal="left" vertical="top" wrapText="1"/>
    </xf>
    <xf numFmtId="0" fontId="11" fillId="0" borderId="0" xfId="0" applyFont="1"/>
    <xf numFmtId="2" fontId="11" fillId="0" borderId="0" xfId="0" applyNumberFormat="1" applyFont="1"/>
    <xf numFmtId="0" fontId="3" fillId="0" borderId="8" xfId="2" applyFont="1" applyBorder="1" applyAlignment="1">
      <alignment horizontal="center" vertical="center"/>
    </xf>
    <xf numFmtId="0" fontId="3" fillId="0" borderId="8" xfId="2" applyFont="1" applyBorder="1" applyAlignment="1">
      <alignment horizontal="left" vertical="top" wrapText="1"/>
    </xf>
    <xf numFmtId="165" fontId="10" fillId="0" borderId="0" xfId="0" applyNumberFormat="1" applyFont="1"/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 wrapText="1"/>
    </xf>
    <xf numFmtId="2" fontId="3" fillId="0" borderId="13" xfId="2" applyNumberFormat="1" applyFont="1" applyBorder="1"/>
    <xf numFmtId="0" fontId="7" fillId="0" borderId="4" xfId="0" applyFont="1" applyBorder="1" applyAlignment="1">
      <alignment horizontal="right" vertical="center" wrapText="1"/>
    </xf>
    <xf numFmtId="9" fontId="3" fillId="0" borderId="4" xfId="0" applyNumberFormat="1" applyFont="1" applyBorder="1" applyAlignment="1">
      <alignment horizontal="center" vertical="center"/>
    </xf>
    <xf numFmtId="2" fontId="3" fillId="0" borderId="4" xfId="2" applyNumberFormat="1" applyFont="1" applyBorder="1"/>
    <xf numFmtId="2" fontId="3" fillId="0" borderId="10" xfId="2" applyNumberFormat="1" applyFont="1" applyBorder="1"/>
    <xf numFmtId="0" fontId="3" fillId="0" borderId="12" xfId="0" applyFont="1" applyBorder="1" applyAlignment="1">
      <alignment horizontal="center" vertical="center" wrapText="1"/>
    </xf>
    <xf numFmtId="2" fontId="3" fillId="0" borderId="12" xfId="2" applyNumberFormat="1" applyFont="1" applyBorder="1"/>
    <xf numFmtId="9" fontId="3" fillId="0" borderId="13" xfId="0" applyNumberFormat="1" applyFont="1" applyBorder="1" applyAlignment="1">
      <alignment horizontal="center" vertical="center" wrapText="1"/>
    </xf>
    <xf numFmtId="0" fontId="3" fillId="0" borderId="0" xfId="2" applyFont="1"/>
    <xf numFmtId="0" fontId="3" fillId="0" borderId="0" xfId="2" applyFont="1" applyAlignment="1">
      <alignment wrapText="1"/>
    </xf>
    <xf numFmtId="0" fontId="7" fillId="0" borderId="0" xfId="2" applyFont="1" applyAlignment="1">
      <alignment horizontal="center"/>
    </xf>
    <xf numFmtId="4" fontId="10" fillId="0" borderId="0" xfId="1" applyNumberFormat="1" applyFont="1"/>
    <xf numFmtId="3" fontId="10" fillId="0" borderId="0" xfId="0" applyNumberFormat="1" applyFont="1" applyBorder="1"/>
    <xf numFmtId="164" fontId="11" fillId="0" borderId="0" xfId="0" applyNumberFormat="1" applyFont="1" applyBorder="1"/>
    <xf numFmtId="3" fontId="11" fillId="0" borderId="0" xfId="0" applyNumberFormat="1" applyFont="1" applyBorder="1"/>
    <xf numFmtId="0" fontId="10" fillId="0" borderId="0" xfId="0" applyFont="1" applyAlignment="1">
      <alignment wrapText="1"/>
    </xf>
    <xf numFmtId="0" fontId="13" fillId="0" borderId="0" xfId="0" applyFont="1"/>
    <xf numFmtId="0" fontId="7" fillId="0" borderId="10" xfId="2" applyFont="1" applyBorder="1" applyAlignment="1">
      <alignment horizontal="center" vertical="center"/>
    </xf>
    <xf numFmtId="3" fontId="7" fillId="0" borderId="10" xfId="2" applyNumberFormat="1" applyFont="1" applyFill="1" applyBorder="1" applyAlignment="1">
      <alignment horizontal="right" vertical="center"/>
    </xf>
    <xf numFmtId="3" fontId="3" fillId="0" borderId="13" xfId="1" applyNumberFormat="1" applyFont="1" applyBorder="1" applyAlignment="1">
      <alignment horizontal="right"/>
    </xf>
    <xf numFmtId="3" fontId="7" fillId="0" borderId="4" xfId="1" applyNumberFormat="1" applyFont="1" applyBorder="1" applyAlignment="1">
      <alignment horizontal="right" vertical="center"/>
    </xf>
    <xf numFmtId="3" fontId="7" fillId="0" borderId="10" xfId="1" applyNumberFormat="1" applyFont="1" applyBorder="1" applyAlignment="1">
      <alignment horizontal="right" vertical="center"/>
    </xf>
    <xf numFmtId="3" fontId="14" fillId="0" borderId="12" xfId="1" applyNumberFormat="1" applyFont="1" applyBorder="1" applyAlignment="1">
      <alignment horizontal="right" vertical="center"/>
    </xf>
    <xf numFmtId="2" fontId="10" fillId="0" borderId="0" xfId="0" applyNumberFormat="1" applyFont="1"/>
    <xf numFmtId="0" fontId="7" fillId="0" borderId="1" xfId="2" applyFont="1" applyBorder="1" applyAlignment="1">
      <alignment horizontal="centerContinuous" vertical="center" wrapText="1"/>
    </xf>
    <xf numFmtId="0" fontId="15" fillId="0" borderId="0" xfId="2" applyFont="1" applyAlignment="1">
      <alignment horizontal="center"/>
    </xf>
    <xf numFmtId="0" fontId="15" fillId="0" borderId="6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 wrapText="1"/>
    </xf>
    <xf numFmtId="1" fontId="15" fillId="0" borderId="6" xfId="2" applyNumberFormat="1" applyFont="1" applyBorder="1" applyAlignment="1">
      <alignment horizontal="center" vertical="center"/>
    </xf>
    <xf numFmtId="3" fontId="15" fillId="0" borderId="6" xfId="1" applyNumberFormat="1" applyFont="1" applyBorder="1" applyAlignment="1">
      <alignment horizontal="center" vertical="center"/>
    </xf>
    <xf numFmtId="167" fontId="7" fillId="0" borderId="0" xfId="2" applyNumberFormat="1" applyFont="1" applyAlignment="1">
      <alignment horizontal="left"/>
    </xf>
    <xf numFmtId="0" fontId="3" fillId="0" borderId="2" xfId="2" applyFont="1" applyBorder="1" applyAlignment="1">
      <alignment horizontal="center" wrapText="1"/>
    </xf>
    <xf numFmtId="0" fontId="3" fillId="0" borderId="3" xfId="2" applyFont="1" applyBorder="1" applyAlignment="1">
      <alignment horizontal="center" wrapText="1"/>
    </xf>
    <xf numFmtId="0" fontId="3" fillId="0" borderId="8" xfId="2" applyFont="1" applyBorder="1" applyAlignment="1">
      <alignment horizontal="right" vertical="top" wrapText="1"/>
    </xf>
    <xf numFmtId="0" fontId="15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7" fillId="0" borderId="7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2" fontId="7" fillId="0" borderId="7" xfId="2" applyNumberFormat="1" applyFont="1" applyBorder="1" applyAlignment="1">
      <alignment horizontal="center" vertical="center"/>
    </xf>
    <xf numFmtId="2" fontId="3" fillId="0" borderId="8" xfId="2" applyNumberFormat="1" applyFont="1" applyBorder="1" applyAlignment="1">
      <alignment horizontal="center" vertical="center"/>
    </xf>
    <xf numFmtId="4" fontId="7" fillId="0" borderId="7" xfId="1" applyNumberFormat="1" applyFont="1" applyBorder="1" applyAlignment="1"/>
    <xf numFmtId="4" fontId="3" fillId="0" borderId="9" xfId="1" applyNumberFormat="1" applyFont="1" applyBorder="1" applyAlignment="1">
      <alignment vertical="center"/>
    </xf>
    <xf numFmtId="4" fontId="7" fillId="0" borderId="7" xfId="1" applyNumberFormat="1" applyFont="1" applyBorder="1" applyAlignment="1">
      <alignment vertical="center"/>
    </xf>
    <xf numFmtId="2" fontId="7" fillId="0" borderId="7" xfId="2" applyNumberFormat="1" applyFont="1" applyBorder="1" applyAlignment="1">
      <alignment vertical="center"/>
    </xf>
    <xf numFmtId="0" fontId="3" fillId="0" borderId="14" xfId="2" applyFont="1" applyBorder="1" applyAlignment="1">
      <alignment horizontal="left" vertical="top" wrapText="1"/>
    </xf>
    <xf numFmtId="4" fontId="3" fillId="0" borderId="9" xfId="1" applyNumberFormat="1" applyFont="1" applyBorder="1" applyAlignment="1">
      <alignment horizontal="right" vertical="center"/>
    </xf>
    <xf numFmtId="0" fontId="12" fillId="0" borderId="8" xfId="2" applyFont="1" applyBorder="1" applyAlignment="1">
      <alignment horizontal="center" wrapText="1"/>
    </xf>
    <xf numFmtId="0" fontId="12" fillId="0" borderId="8" xfId="2" applyFont="1" applyBorder="1" applyAlignment="1">
      <alignment horizontal="left" wrapText="1"/>
    </xf>
    <xf numFmtId="0" fontId="3" fillId="0" borderId="10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right" vertical="center" wrapText="1"/>
    </xf>
    <xf numFmtId="2" fontId="7" fillId="0" borderId="10" xfId="2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7" fillId="0" borderId="7" xfId="2" applyFont="1" applyBorder="1" applyAlignment="1">
      <alignment horizontal="left" vertical="center" wrapText="1"/>
    </xf>
    <xf numFmtId="4" fontId="7" fillId="0" borderId="7" xfId="1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2" fontId="11" fillId="0" borderId="0" xfId="0" applyNumberFormat="1" applyFont="1" applyAlignment="1">
      <alignment vertical="center"/>
    </xf>
    <xf numFmtId="0" fontId="3" fillId="0" borderId="15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2" fontId="3" fillId="0" borderId="17" xfId="2" applyNumberFormat="1" applyFont="1" applyBorder="1" applyAlignment="1">
      <alignment horizontal="center" vertical="center" wrapText="1"/>
    </xf>
    <xf numFmtId="0" fontId="3" fillId="0" borderId="0" xfId="0" applyFont="1"/>
    <xf numFmtId="2" fontId="3" fillId="0" borderId="8" xfId="2" applyNumberFormat="1" applyFont="1" applyBorder="1" applyAlignment="1">
      <alignment horizontal="left" vertical="top" wrapText="1"/>
    </xf>
    <xf numFmtId="2" fontId="3" fillId="0" borderId="7" xfId="2" applyNumberFormat="1" applyFont="1" applyBorder="1" applyAlignment="1">
      <alignment vertical="center"/>
    </xf>
    <xf numFmtId="0" fontId="7" fillId="0" borderId="7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0" fontId="7" fillId="0" borderId="7" xfId="2" applyFont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0" fontId="10" fillId="0" borderId="5" xfId="0" applyFont="1" applyBorder="1"/>
    <xf numFmtId="0" fontId="3" fillId="0" borderId="7" xfId="2" applyFont="1" applyBorder="1" applyAlignment="1">
      <alignment horizontal="center" vertical="center"/>
    </xf>
    <xf numFmtId="9" fontId="3" fillId="0" borderId="13" xfId="0" applyNumberFormat="1" applyFont="1" applyFill="1" applyBorder="1" applyAlignment="1">
      <alignment horizontal="center" vertical="center"/>
    </xf>
    <xf numFmtId="0" fontId="3" fillId="0" borderId="8" xfId="2" applyNumberFormat="1" applyFont="1" applyFill="1" applyBorder="1" applyAlignment="1">
      <alignment horizontal="center" vertical="center"/>
    </xf>
    <xf numFmtId="2" fontId="3" fillId="2" borderId="8" xfId="2" applyNumberFormat="1" applyFont="1" applyFill="1" applyBorder="1" applyAlignment="1" applyProtection="1">
      <alignment horizontal="center" vertical="center"/>
      <protection locked="0"/>
    </xf>
    <xf numFmtId="2" fontId="3" fillId="2" borderId="7" xfId="2" applyNumberFormat="1" applyFont="1" applyFill="1" applyBorder="1" applyAlignment="1" applyProtection="1">
      <alignment horizontal="center" vertical="center"/>
      <protection locked="0"/>
    </xf>
    <xf numFmtId="0" fontId="3" fillId="0" borderId="0" xfId="2" applyNumberFormat="1" applyFont="1" applyFill="1"/>
    <xf numFmtId="0" fontId="7" fillId="0" borderId="1" xfId="2" applyNumberFormat="1" applyFont="1" applyFill="1" applyBorder="1" applyAlignment="1">
      <alignment horizontal="centerContinuous" vertical="center" wrapText="1"/>
    </xf>
    <xf numFmtId="0" fontId="10" fillId="0" borderId="0" xfId="0" applyNumberFormat="1" applyFont="1" applyFill="1"/>
    <xf numFmtId="0" fontId="3" fillId="0" borderId="2" xfId="2" applyNumberFormat="1" applyFont="1" applyFill="1" applyBorder="1" applyAlignment="1">
      <alignment horizontal="center" wrapText="1"/>
    </xf>
    <xf numFmtId="0" fontId="3" fillId="0" borderId="5" xfId="2" applyNumberFormat="1" applyFont="1" applyFill="1" applyBorder="1" applyAlignment="1">
      <alignment horizontal="center" vertical="top" wrapText="1"/>
    </xf>
    <xf numFmtId="0" fontId="15" fillId="0" borderId="6" xfId="2" applyNumberFormat="1" applyFont="1" applyFill="1" applyBorder="1" applyAlignment="1">
      <alignment horizontal="center" vertical="center"/>
    </xf>
    <xf numFmtId="0" fontId="7" fillId="0" borderId="7" xfId="2" applyNumberFormat="1" applyFont="1" applyFill="1" applyBorder="1" applyAlignment="1">
      <alignment horizontal="center" vertical="center"/>
    </xf>
    <xf numFmtId="0" fontId="3" fillId="0" borderId="8" xfId="2" applyNumberFormat="1" applyFont="1" applyFill="1" applyBorder="1" applyAlignment="1">
      <alignment horizontal="center" vertical="center" wrapText="1"/>
    </xf>
    <xf numFmtId="0" fontId="7" fillId="0" borderId="7" xfId="2" applyNumberFormat="1" applyFont="1" applyFill="1" applyBorder="1" applyAlignment="1">
      <alignment horizontal="center"/>
    </xf>
    <xf numFmtId="0" fontId="7" fillId="0" borderId="10" xfId="2" applyNumberFormat="1" applyFont="1" applyFill="1" applyBorder="1" applyAlignment="1">
      <alignment horizontal="right" vertical="center"/>
    </xf>
    <xf numFmtId="0" fontId="3" fillId="0" borderId="13" xfId="2" applyNumberFormat="1" applyFont="1" applyFill="1" applyBorder="1"/>
    <xf numFmtId="0" fontId="3" fillId="0" borderId="4" xfId="2" applyNumberFormat="1" applyFont="1" applyFill="1" applyBorder="1"/>
    <xf numFmtId="0" fontId="3" fillId="0" borderId="10" xfId="2" applyNumberFormat="1" applyFont="1" applyFill="1" applyBorder="1"/>
    <xf numFmtId="2" fontId="3" fillId="0" borderId="8" xfId="2" applyNumberFormat="1" applyFont="1" applyFill="1" applyBorder="1" applyAlignment="1" applyProtection="1">
      <alignment horizontal="center" vertical="center"/>
      <protection locked="0"/>
    </xf>
    <xf numFmtId="4" fontId="3" fillId="0" borderId="9" xfId="1" applyNumberFormat="1" applyFont="1" applyBorder="1" applyAlignment="1">
      <alignment vertical="center"/>
    </xf>
    <xf numFmtId="9" fontId="3" fillId="2" borderId="13" xfId="0" applyNumberFormat="1" applyFont="1" applyFill="1" applyBorder="1" applyAlignment="1" applyProtection="1">
      <alignment horizontal="center" vertical="center"/>
      <protection locked="0"/>
    </xf>
    <xf numFmtId="168" fontId="5" fillId="2" borderId="12" xfId="0" applyNumberFormat="1" applyFont="1" applyFill="1" applyBorder="1" applyAlignment="1" applyProtection="1">
      <alignment horizontal="right" vertical="center"/>
      <protection locked="0"/>
    </xf>
    <xf numFmtId="4" fontId="7" fillId="0" borderId="7" xfId="1" applyNumberFormat="1" applyFont="1" applyFill="1" applyBorder="1" applyAlignment="1" applyProtection="1">
      <protection locked="0"/>
    </xf>
    <xf numFmtId="4" fontId="3" fillId="0" borderId="9" xfId="1" applyNumberFormat="1" applyFont="1" applyFill="1" applyBorder="1" applyAlignment="1" applyProtection="1">
      <alignment vertical="center"/>
      <protection locked="0"/>
    </xf>
    <xf numFmtId="4" fontId="7" fillId="0" borderId="7" xfId="1" applyNumberFormat="1" applyFont="1" applyFill="1" applyBorder="1" applyAlignment="1" applyProtection="1">
      <alignment vertical="center"/>
      <protection locked="0"/>
    </xf>
    <xf numFmtId="4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2" fontId="7" fillId="0" borderId="7" xfId="2" applyNumberFormat="1" applyFont="1" applyFill="1" applyBorder="1" applyAlignment="1" applyProtection="1">
      <alignment vertical="center"/>
      <protection locked="0"/>
    </xf>
    <xf numFmtId="2" fontId="3" fillId="0" borderId="7" xfId="2" applyNumberFormat="1" applyFont="1" applyFill="1" applyBorder="1" applyAlignment="1" applyProtection="1">
      <alignment vertical="center"/>
      <protection locked="0"/>
    </xf>
    <xf numFmtId="4" fontId="7" fillId="0" borderId="7" xfId="1" applyNumberFormat="1" applyFont="1" applyFill="1" applyBorder="1" applyAlignment="1" applyProtection="1">
      <alignment horizontal="right" vertical="center"/>
      <protection locked="0"/>
    </xf>
    <xf numFmtId="4" fontId="3" fillId="0" borderId="9" xfId="1" applyNumberFormat="1" applyFont="1" applyFill="1" applyBorder="1" applyAlignment="1" applyProtection="1">
      <alignment horizontal="right" vertical="center"/>
      <protection locked="0"/>
    </xf>
    <xf numFmtId="2" fontId="3" fillId="0" borderId="8" xfId="2" applyNumberFormat="1" applyFont="1" applyFill="1" applyBorder="1" applyAlignment="1" applyProtection="1">
      <alignment horizontal="center" vertical="center"/>
    </xf>
    <xf numFmtId="0" fontId="3" fillId="0" borderId="17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3" fillId="0" borderId="0" xfId="2" applyFont="1" applyAlignment="1">
      <alignment horizontal="left" wrapText="1"/>
    </xf>
  </cellXfs>
  <cellStyles count="11">
    <cellStyle name="Обычный" xfId="0" builtinId="0"/>
    <cellStyle name="Обычный 2" xfId="2"/>
    <cellStyle name="Обычный 2 2" xfId="3"/>
    <cellStyle name="Обычный 3" xfId="4"/>
    <cellStyle name="Обычный 3 2" xfId="8"/>
    <cellStyle name="Обычный 4" xfId="7"/>
    <cellStyle name="Финансовый" xfId="1" builtinId="3"/>
    <cellStyle name="Финансовый 2" xfId="5"/>
    <cellStyle name="Финансовый 2 2" xfId="9"/>
    <cellStyle name="Финансовый 3" xfId="6"/>
    <cellStyle name="Финансовый 3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1"/>
  <sheetViews>
    <sheetView tabSelected="1" topLeftCell="A82" zoomScaleNormal="100" workbookViewId="0">
      <selection activeCell="M13" sqref="M13"/>
    </sheetView>
  </sheetViews>
  <sheetFormatPr defaultColWidth="8.85546875" defaultRowHeight="12.75"/>
  <cols>
    <col min="1" max="1" width="4.42578125" style="7" customWidth="1"/>
    <col min="2" max="2" width="12.7109375" style="81" customWidth="1"/>
    <col min="3" max="3" width="48.7109375" style="34" customWidth="1"/>
    <col min="4" max="4" width="10" style="55" customWidth="1"/>
    <col min="5" max="5" width="12" style="96" customWidth="1"/>
    <col min="6" max="6" width="10.28515625" style="7" customWidth="1"/>
    <col min="7" max="7" width="11.28515625" style="30" customWidth="1"/>
    <col min="8" max="8" width="27.140625" style="7" customWidth="1"/>
    <col min="9" max="10" width="8.85546875" style="7"/>
    <col min="11" max="11" width="9.5703125" style="7" bestFit="1" customWidth="1"/>
    <col min="12" max="16384" width="8.85546875" style="7"/>
  </cols>
  <sheetData>
    <row r="1" spans="1:12">
      <c r="A1" s="27"/>
      <c r="B1" s="27"/>
      <c r="C1" s="29" t="s">
        <v>24</v>
      </c>
      <c r="E1" s="94"/>
      <c r="K1" s="31"/>
      <c r="L1" s="31"/>
    </row>
    <row r="2" spans="1:12">
      <c r="A2" s="27"/>
      <c r="B2" s="27"/>
      <c r="C2" s="44" t="s">
        <v>0</v>
      </c>
      <c r="E2" s="94"/>
      <c r="K2" s="31"/>
      <c r="L2" s="31"/>
    </row>
    <row r="3" spans="1:12">
      <c r="A3" s="27"/>
      <c r="B3" s="27"/>
      <c r="C3" s="28"/>
      <c r="D3" s="56"/>
      <c r="E3" s="94"/>
      <c r="K3" s="31"/>
      <c r="L3" s="31"/>
    </row>
    <row r="4" spans="1:12" ht="13.15" customHeight="1">
      <c r="A4" s="27"/>
      <c r="B4" s="27"/>
      <c r="C4" s="43" t="s">
        <v>62</v>
      </c>
      <c r="D4" s="43"/>
      <c r="E4" s="95"/>
      <c r="F4" s="43"/>
      <c r="K4" s="32"/>
      <c r="L4" s="33"/>
    </row>
    <row r="5" spans="1:12">
      <c r="A5" s="27"/>
      <c r="B5" s="27"/>
      <c r="C5" s="28"/>
      <c r="D5" s="53" t="s">
        <v>1</v>
      </c>
      <c r="E5" s="94"/>
    </row>
    <row r="6" spans="1:12">
      <c r="A6" s="27"/>
      <c r="B6" s="27"/>
      <c r="C6" s="28"/>
      <c r="D6" s="54"/>
      <c r="E6" s="94"/>
    </row>
    <row r="7" spans="1:12" ht="25.15" customHeight="1">
      <c r="A7" s="124" t="s">
        <v>2</v>
      </c>
      <c r="B7" s="124"/>
      <c r="C7" s="49">
        <f>G137</f>
        <v>0</v>
      </c>
    </row>
    <row r="8" spans="1:12">
      <c r="A8" s="7" t="s">
        <v>42</v>
      </c>
    </row>
    <row r="9" spans="1:12" ht="28.15" customHeight="1">
      <c r="A9" s="6"/>
      <c r="B9" s="50" t="s">
        <v>4</v>
      </c>
      <c r="C9" s="51" t="s">
        <v>5</v>
      </c>
      <c r="D9" s="78"/>
      <c r="E9" s="97" t="s">
        <v>44</v>
      </c>
      <c r="F9" s="120" t="s">
        <v>56</v>
      </c>
      <c r="G9" s="121" t="s">
        <v>7</v>
      </c>
      <c r="H9" s="87" t="s">
        <v>55</v>
      </c>
    </row>
    <row r="10" spans="1:12" ht="25.9" customHeight="1">
      <c r="A10" s="5" t="s">
        <v>3</v>
      </c>
      <c r="B10" s="5"/>
      <c r="C10" s="8"/>
      <c r="D10" s="79" t="s">
        <v>6</v>
      </c>
      <c r="E10" s="98" t="s">
        <v>9</v>
      </c>
      <c r="F10" s="80" t="s">
        <v>8</v>
      </c>
      <c r="G10" s="9" t="s">
        <v>9</v>
      </c>
      <c r="H10" s="88"/>
    </row>
    <row r="11" spans="1:12" s="35" customFormat="1">
      <c r="A11" s="45">
        <v>1</v>
      </c>
      <c r="B11" s="45">
        <v>2</v>
      </c>
      <c r="C11" s="46">
        <v>3</v>
      </c>
      <c r="D11" s="45">
        <v>4</v>
      </c>
      <c r="E11" s="99">
        <v>5</v>
      </c>
      <c r="F11" s="47">
        <v>6</v>
      </c>
      <c r="G11" s="48">
        <v>7</v>
      </c>
      <c r="H11" s="48">
        <v>8</v>
      </c>
    </row>
    <row r="12" spans="1:12" s="35" customFormat="1" ht="27.6" customHeight="1">
      <c r="A12" s="89" t="s">
        <v>57</v>
      </c>
      <c r="B12" s="11"/>
      <c r="C12" s="11" t="s">
        <v>26</v>
      </c>
      <c r="D12" s="57" t="s">
        <v>61</v>
      </c>
      <c r="E12" s="100">
        <v>1</v>
      </c>
      <c r="F12" s="59"/>
      <c r="G12" s="61"/>
      <c r="H12" s="111"/>
    </row>
    <row r="13" spans="1:12" s="35" customFormat="1" ht="63.75">
      <c r="A13" s="14"/>
      <c r="B13" s="15"/>
      <c r="C13" s="15" t="s">
        <v>112</v>
      </c>
      <c r="D13" s="58" t="s">
        <v>61</v>
      </c>
      <c r="E13" s="91">
        <f>E12</f>
        <v>1</v>
      </c>
      <c r="F13" s="92"/>
      <c r="G13" s="62">
        <f>E13*F13</f>
        <v>0</v>
      </c>
      <c r="H13" s="112"/>
    </row>
    <row r="14" spans="1:12" s="12" customFormat="1" ht="51">
      <c r="A14" s="10">
        <v>1</v>
      </c>
      <c r="B14" s="11"/>
      <c r="C14" s="11" t="s">
        <v>63</v>
      </c>
      <c r="D14" s="57" t="s">
        <v>11</v>
      </c>
      <c r="E14" s="100">
        <v>79.845200000000006</v>
      </c>
      <c r="F14" s="59"/>
      <c r="G14" s="63"/>
      <c r="H14" s="113"/>
      <c r="L14" s="13"/>
    </row>
    <row r="15" spans="1:12">
      <c r="A15" s="14"/>
      <c r="B15" s="15"/>
      <c r="C15" s="52" t="s">
        <v>22</v>
      </c>
      <c r="D15" s="58" t="s">
        <v>11</v>
      </c>
      <c r="E15" s="91">
        <f>E14</f>
        <v>79.845200000000006</v>
      </c>
      <c r="F15" s="92"/>
      <c r="G15" s="62">
        <f>E15*F15</f>
        <v>0</v>
      </c>
      <c r="H15" s="112"/>
      <c r="I15" s="42"/>
      <c r="J15" s="42"/>
    </row>
    <row r="16" spans="1:12">
      <c r="A16" s="14"/>
      <c r="B16" s="15" t="s">
        <v>45</v>
      </c>
      <c r="C16" s="52" t="s">
        <v>12</v>
      </c>
      <c r="D16" s="58" t="s">
        <v>10</v>
      </c>
      <c r="E16" s="91">
        <f>E14*4.38/2</f>
        <v>174.86098800000002</v>
      </c>
      <c r="F16" s="92"/>
      <c r="G16" s="62">
        <f t="shared" ref="G16" si="0">E16*F16</f>
        <v>0</v>
      </c>
      <c r="H16" s="112"/>
      <c r="I16" s="16"/>
    </row>
    <row r="17" spans="1:12">
      <c r="A17" s="14"/>
      <c r="B17" s="82"/>
      <c r="C17" s="52" t="s">
        <v>38</v>
      </c>
      <c r="D17" s="58" t="s">
        <v>64</v>
      </c>
      <c r="E17" s="91">
        <f>E14</f>
        <v>79.845200000000006</v>
      </c>
      <c r="F17" s="92"/>
      <c r="G17" s="62">
        <f>E17*F17</f>
        <v>0</v>
      </c>
      <c r="H17" s="112"/>
      <c r="I17" s="16"/>
    </row>
    <row r="18" spans="1:12" s="12" customFormat="1" ht="38.25">
      <c r="A18" s="84">
        <v>2</v>
      </c>
      <c r="B18" s="11"/>
      <c r="C18" s="11" t="s">
        <v>65</v>
      </c>
      <c r="D18" s="57" t="s">
        <v>11</v>
      </c>
      <c r="E18" s="100">
        <v>0.60316000000000003</v>
      </c>
      <c r="F18" s="59"/>
      <c r="G18" s="63"/>
      <c r="H18" s="113"/>
      <c r="L18" s="13"/>
    </row>
    <row r="19" spans="1:12">
      <c r="A19" s="85"/>
      <c r="B19" s="15"/>
      <c r="C19" s="52" t="s">
        <v>22</v>
      </c>
      <c r="D19" s="58" t="s">
        <v>11</v>
      </c>
      <c r="E19" s="91">
        <f>E18</f>
        <v>0.60316000000000003</v>
      </c>
      <c r="F19" s="92"/>
      <c r="G19" s="62">
        <f>E19*F19</f>
        <v>0</v>
      </c>
      <c r="H19" s="112"/>
      <c r="I19" s="42"/>
      <c r="J19" s="42"/>
    </row>
    <row r="20" spans="1:12">
      <c r="A20" s="85"/>
      <c r="B20" s="15" t="s">
        <v>47</v>
      </c>
      <c r="C20" s="52" t="s">
        <v>12</v>
      </c>
      <c r="D20" s="58" t="s">
        <v>10</v>
      </c>
      <c r="E20" s="91">
        <f>E18*11.6</f>
        <v>6.9966559999999998</v>
      </c>
      <c r="F20" s="92"/>
      <c r="G20" s="62">
        <f t="shared" ref="G20" si="1">E20*F20</f>
        <v>0</v>
      </c>
      <c r="H20" s="112"/>
      <c r="I20" s="16"/>
    </row>
    <row r="21" spans="1:12">
      <c r="A21" s="14"/>
      <c r="B21" s="82"/>
      <c r="C21" s="52" t="s">
        <v>38</v>
      </c>
      <c r="D21" s="58" t="s">
        <v>64</v>
      </c>
      <c r="E21" s="91">
        <f>E18</f>
        <v>0.60316000000000003</v>
      </c>
      <c r="F21" s="92"/>
      <c r="G21" s="62">
        <f>E21*F21</f>
        <v>0</v>
      </c>
      <c r="H21" s="112"/>
      <c r="I21" s="16"/>
    </row>
    <row r="22" spans="1:12">
      <c r="A22" s="85"/>
      <c r="B22" s="15"/>
      <c r="C22" s="15" t="s">
        <v>66</v>
      </c>
      <c r="D22" s="58"/>
      <c r="E22" s="91"/>
      <c r="F22" s="107"/>
      <c r="G22" s="62"/>
      <c r="H22" s="112"/>
      <c r="I22" s="16"/>
    </row>
    <row r="23" spans="1:12" ht="38.25">
      <c r="A23" s="85">
        <v>3</v>
      </c>
      <c r="B23" s="15"/>
      <c r="C23" s="52" t="s">
        <v>67</v>
      </c>
      <c r="D23" s="58" t="s">
        <v>11</v>
      </c>
      <c r="E23" s="91">
        <v>0.45102959999999997</v>
      </c>
      <c r="F23" s="92"/>
      <c r="G23" s="108">
        <f>E23*F23</f>
        <v>0</v>
      </c>
      <c r="H23" s="114"/>
      <c r="I23" s="16"/>
    </row>
    <row r="24" spans="1:12" ht="38.25">
      <c r="A24" s="85">
        <v>4</v>
      </c>
      <c r="B24" s="15"/>
      <c r="C24" s="52" t="s">
        <v>68</v>
      </c>
      <c r="D24" s="58" t="s">
        <v>11</v>
      </c>
      <c r="E24" s="91">
        <v>2.0216000000000001E-2</v>
      </c>
      <c r="F24" s="92"/>
      <c r="G24" s="108">
        <f>E24*F24</f>
        <v>0</v>
      </c>
      <c r="H24" s="112"/>
      <c r="I24" s="16"/>
    </row>
    <row r="25" spans="1:12" ht="38.25">
      <c r="A25" s="85">
        <v>5</v>
      </c>
      <c r="B25" s="15"/>
      <c r="C25" s="52" t="s">
        <v>69</v>
      </c>
      <c r="D25" s="58" t="s">
        <v>11</v>
      </c>
      <c r="E25" s="91">
        <v>0.15034320000000001</v>
      </c>
      <c r="F25" s="92"/>
      <c r="G25" s="108">
        <f t="shared" ref="G25:G26" si="2">E25*F25</f>
        <v>0</v>
      </c>
      <c r="H25" s="112"/>
      <c r="I25" s="16"/>
    </row>
    <row r="26" spans="1:12" ht="38.25">
      <c r="A26" s="85">
        <v>6</v>
      </c>
      <c r="B26" s="15"/>
      <c r="C26" s="52" t="s">
        <v>70</v>
      </c>
      <c r="D26" s="58" t="s">
        <v>29</v>
      </c>
      <c r="E26" s="91">
        <v>0.48</v>
      </c>
      <c r="F26" s="92"/>
      <c r="G26" s="108">
        <f t="shared" si="2"/>
        <v>0</v>
      </c>
      <c r="H26" s="112"/>
      <c r="I26" s="16"/>
    </row>
    <row r="27" spans="1:12" s="12" customFormat="1" ht="38.25">
      <c r="A27" s="84">
        <v>7</v>
      </c>
      <c r="B27" s="11"/>
      <c r="C27" s="11" t="s">
        <v>71</v>
      </c>
      <c r="D27" s="57" t="s">
        <v>11</v>
      </c>
      <c r="E27" s="100">
        <v>0.60316000000000003</v>
      </c>
      <c r="F27" s="59"/>
      <c r="G27" s="63"/>
      <c r="H27" s="113"/>
      <c r="L27" s="13"/>
    </row>
    <row r="28" spans="1:12">
      <c r="A28" s="14"/>
      <c r="B28" s="15"/>
      <c r="C28" s="52" t="s">
        <v>22</v>
      </c>
      <c r="D28" s="58" t="s">
        <v>11</v>
      </c>
      <c r="E28" s="91">
        <f>E27</f>
        <v>0.60316000000000003</v>
      </c>
      <c r="F28" s="92"/>
      <c r="G28" s="62">
        <f>E28*F28</f>
        <v>0</v>
      </c>
      <c r="H28" s="112"/>
      <c r="I28" s="42"/>
      <c r="J28" s="42"/>
    </row>
    <row r="29" spans="1:12">
      <c r="A29" s="14"/>
      <c r="B29" s="15" t="s">
        <v>72</v>
      </c>
      <c r="C29" s="52" t="s">
        <v>12</v>
      </c>
      <c r="D29" s="58" t="s">
        <v>10</v>
      </c>
      <c r="E29" s="91">
        <f>E27*6.87</f>
        <v>4.1437092</v>
      </c>
      <c r="F29" s="92"/>
      <c r="G29" s="62">
        <f t="shared" ref="G29" si="3">E29*F29</f>
        <v>0</v>
      </c>
      <c r="H29" s="112"/>
      <c r="I29" s="16"/>
    </row>
    <row r="30" spans="1:12">
      <c r="A30" s="14"/>
      <c r="B30" s="82"/>
      <c r="C30" s="52" t="s">
        <v>38</v>
      </c>
      <c r="D30" s="58" t="s">
        <v>64</v>
      </c>
      <c r="E30" s="91">
        <f>E27</f>
        <v>0.60316000000000003</v>
      </c>
      <c r="F30" s="92"/>
      <c r="G30" s="62">
        <f>E30*F30</f>
        <v>0</v>
      </c>
      <c r="H30" s="112"/>
      <c r="I30" s="16"/>
    </row>
    <row r="31" spans="1:12" s="12" customFormat="1" ht="25.5">
      <c r="A31" s="84">
        <v>8</v>
      </c>
      <c r="B31" s="11"/>
      <c r="C31" s="11" t="s">
        <v>73</v>
      </c>
      <c r="D31" s="57" t="s">
        <v>11</v>
      </c>
      <c r="E31" s="100">
        <v>12.75591</v>
      </c>
      <c r="F31" s="59"/>
      <c r="G31" s="63"/>
      <c r="H31" s="113"/>
      <c r="L31" s="13"/>
    </row>
    <row r="32" spans="1:12">
      <c r="A32" s="14"/>
      <c r="B32" s="15"/>
      <c r="C32" s="52" t="s">
        <v>22</v>
      </c>
      <c r="D32" s="58" t="s">
        <v>11</v>
      </c>
      <c r="E32" s="91">
        <f>E31</f>
        <v>12.75591</v>
      </c>
      <c r="F32" s="92"/>
      <c r="G32" s="62">
        <f>E32*F32</f>
        <v>0</v>
      </c>
      <c r="H32" s="112"/>
      <c r="I32" s="42"/>
      <c r="J32" s="42"/>
    </row>
    <row r="33" spans="1:12">
      <c r="A33" s="14"/>
      <c r="B33" s="15" t="s">
        <v>46</v>
      </c>
      <c r="C33" s="52" t="s">
        <v>12</v>
      </c>
      <c r="D33" s="58" t="s">
        <v>10</v>
      </c>
      <c r="E33" s="91">
        <f>E31*1.5</f>
        <v>19.133865</v>
      </c>
      <c r="F33" s="92"/>
      <c r="G33" s="62">
        <f t="shared" ref="G33" si="4">E33*F33</f>
        <v>0</v>
      </c>
      <c r="H33" s="112"/>
      <c r="I33" s="16"/>
    </row>
    <row r="34" spans="1:12">
      <c r="A34" s="14"/>
      <c r="B34" s="82"/>
      <c r="C34" s="52" t="s">
        <v>38</v>
      </c>
      <c r="D34" s="58" t="s">
        <v>64</v>
      </c>
      <c r="E34" s="91">
        <f>E31</f>
        <v>12.75591</v>
      </c>
      <c r="F34" s="92"/>
      <c r="G34" s="62">
        <f>E34*F34</f>
        <v>0</v>
      </c>
      <c r="H34" s="112"/>
      <c r="I34" s="16"/>
    </row>
    <row r="35" spans="1:12" ht="38.25">
      <c r="A35" s="85">
        <v>9</v>
      </c>
      <c r="B35" s="15"/>
      <c r="C35" s="52" t="s">
        <v>67</v>
      </c>
      <c r="D35" s="58" t="s">
        <v>11</v>
      </c>
      <c r="E35" s="101">
        <v>0.22692992000000001</v>
      </c>
      <c r="F35" s="92"/>
      <c r="G35" s="108">
        <f>E35*F35</f>
        <v>0</v>
      </c>
      <c r="H35" s="114"/>
      <c r="I35" s="16"/>
    </row>
    <row r="36" spans="1:12" ht="38.25">
      <c r="A36" s="85">
        <v>10</v>
      </c>
      <c r="B36" s="15"/>
      <c r="C36" s="52" t="s">
        <v>68</v>
      </c>
      <c r="D36" s="58" t="s">
        <v>11</v>
      </c>
      <c r="E36" s="101">
        <v>0.85960559999999997</v>
      </c>
      <c r="F36" s="92"/>
      <c r="G36" s="108">
        <f t="shared" ref="G36:G43" si="5">E36*F36</f>
        <v>0</v>
      </c>
      <c r="H36" s="112"/>
      <c r="I36" s="16"/>
    </row>
    <row r="37" spans="1:12" ht="38.25">
      <c r="A37" s="85">
        <v>11</v>
      </c>
      <c r="B37" s="15"/>
      <c r="C37" s="52" t="s">
        <v>76</v>
      </c>
      <c r="D37" s="58" t="s">
        <v>11</v>
      </c>
      <c r="E37" s="101">
        <v>0.88056639999999997</v>
      </c>
      <c r="F37" s="92"/>
      <c r="G37" s="108">
        <f t="shared" si="5"/>
        <v>0</v>
      </c>
      <c r="H37" s="114"/>
      <c r="I37" s="16"/>
    </row>
    <row r="38" spans="1:12" ht="25.5">
      <c r="A38" s="85">
        <v>12</v>
      </c>
      <c r="B38" s="15"/>
      <c r="C38" s="52" t="s">
        <v>74</v>
      </c>
      <c r="D38" s="58" t="s">
        <v>11</v>
      </c>
      <c r="E38" s="101">
        <v>0.15320839999999999</v>
      </c>
      <c r="F38" s="92"/>
      <c r="G38" s="108">
        <f t="shared" si="5"/>
        <v>0</v>
      </c>
      <c r="H38" s="112"/>
      <c r="I38" s="16"/>
    </row>
    <row r="39" spans="1:12" ht="25.5">
      <c r="A39" s="85">
        <v>13</v>
      </c>
      <c r="B39" s="15"/>
      <c r="C39" s="52" t="s">
        <v>75</v>
      </c>
      <c r="D39" s="58" t="s">
        <v>11</v>
      </c>
      <c r="E39" s="101">
        <v>0.43097819999999998</v>
      </c>
      <c r="F39" s="92"/>
      <c r="G39" s="108">
        <f t="shared" si="5"/>
        <v>0</v>
      </c>
      <c r="H39" s="112"/>
      <c r="I39" s="16"/>
    </row>
    <row r="40" spans="1:12" ht="25.5">
      <c r="A40" s="85">
        <v>14</v>
      </c>
      <c r="B40" s="15"/>
      <c r="C40" s="52" t="s">
        <v>77</v>
      </c>
      <c r="D40" s="58" t="s">
        <v>11</v>
      </c>
      <c r="E40" s="101">
        <v>3.38311568</v>
      </c>
      <c r="F40" s="92"/>
      <c r="G40" s="108">
        <f t="shared" si="5"/>
        <v>0</v>
      </c>
      <c r="H40" s="112"/>
      <c r="I40" s="16"/>
    </row>
    <row r="41" spans="1:12" ht="25.5">
      <c r="A41" s="85">
        <v>15</v>
      </c>
      <c r="B41" s="15"/>
      <c r="C41" s="52" t="s">
        <v>78</v>
      </c>
      <c r="D41" s="58" t="s">
        <v>11</v>
      </c>
      <c r="E41" s="101">
        <v>2.4845783199999998</v>
      </c>
      <c r="F41" s="92"/>
      <c r="G41" s="108">
        <f t="shared" si="5"/>
        <v>0</v>
      </c>
      <c r="H41" s="112"/>
      <c r="I41" s="16"/>
    </row>
    <row r="42" spans="1:12" ht="25.5">
      <c r="A42" s="85">
        <v>16</v>
      </c>
      <c r="B42" s="15"/>
      <c r="C42" s="52" t="s">
        <v>79</v>
      </c>
      <c r="D42" s="58" t="s">
        <v>11</v>
      </c>
      <c r="E42" s="101">
        <v>0.74237408000000005</v>
      </c>
      <c r="F42" s="92"/>
      <c r="G42" s="108">
        <f t="shared" si="5"/>
        <v>0</v>
      </c>
      <c r="H42" s="112"/>
      <c r="I42" s="16"/>
    </row>
    <row r="43" spans="1:12" ht="25.5">
      <c r="A43" s="85">
        <v>17</v>
      </c>
      <c r="B43" s="15"/>
      <c r="C43" s="52" t="s">
        <v>80</v>
      </c>
      <c r="D43" s="58" t="s">
        <v>11</v>
      </c>
      <c r="E43" s="101">
        <v>4.4091627999999998</v>
      </c>
      <c r="F43" s="92"/>
      <c r="G43" s="108">
        <f t="shared" si="5"/>
        <v>0</v>
      </c>
      <c r="H43" s="112"/>
      <c r="I43" s="16"/>
    </row>
    <row r="44" spans="1:12" s="12" customFormat="1" ht="38.25">
      <c r="A44" s="84">
        <v>18</v>
      </c>
      <c r="B44" s="11"/>
      <c r="C44" s="11" t="s">
        <v>81</v>
      </c>
      <c r="D44" s="57" t="s">
        <v>11</v>
      </c>
      <c r="E44" s="100">
        <v>12.75591</v>
      </c>
      <c r="F44" s="59"/>
      <c r="G44" s="63"/>
      <c r="H44" s="113"/>
      <c r="L44" s="13"/>
    </row>
    <row r="45" spans="1:12">
      <c r="A45" s="14"/>
      <c r="B45" s="15"/>
      <c r="C45" s="52" t="s">
        <v>22</v>
      </c>
      <c r="D45" s="58" t="s">
        <v>11</v>
      </c>
      <c r="E45" s="91">
        <f>E44</f>
        <v>12.75591</v>
      </c>
      <c r="F45" s="92"/>
      <c r="G45" s="62">
        <f>E45*F45</f>
        <v>0</v>
      </c>
      <c r="H45" s="112"/>
      <c r="I45" s="42"/>
      <c r="J45" s="42"/>
    </row>
    <row r="46" spans="1:12">
      <c r="A46" s="14"/>
      <c r="B46" s="15" t="s">
        <v>72</v>
      </c>
      <c r="C46" s="52" t="s">
        <v>12</v>
      </c>
      <c r="D46" s="58" t="s">
        <v>10</v>
      </c>
      <c r="E46" s="91">
        <f>E44*6.87</f>
        <v>87.633101699999997</v>
      </c>
      <c r="F46" s="92"/>
      <c r="G46" s="62">
        <f t="shared" ref="G46" si="6">E46*F46</f>
        <v>0</v>
      </c>
      <c r="H46" s="112"/>
      <c r="I46" s="16"/>
    </row>
    <row r="47" spans="1:12">
      <c r="A47" s="14"/>
      <c r="B47" s="82"/>
      <c r="C47" s="52" t="s">
        <v>38</v>
      </c>
      <c r="D47" s="58" t="s">
        <v>64</v>
      </c>
      <c r="E47" s="91">
        <f>E44</f>
        <v>12.75591</v>
      </c>
      <c r="F47" s="92"/>
      <c r="G47" s="62">
        <f>E47*F47</f>
        <v>0</v>
      </c>
      <c r="H47" s="112"/>
      <c r="I47" s="16"/>
    </row>
    <row r="48" spans="1:12" s="12" customFormat="1" ht="25.5">
      <c r="A48" s="84">
        <v>19</v>
      </c>
      <c r="B48" s="11"/>
      <c r="C48" s="11" t="s">
        <v>82</v>
      </c>
      <c r="D48" s="57" t="s">
        <v>11</v>
      </c>
      <c r="E48" s="100">
        <v>0.32450000000000001</v>
      </c>
      <c r="F48" s="59"/>
      <c r="G48" s="63"/>
      <c r="H48" s="113"/>
      <c r="L48" s="13"/>
    </row>
    <row r="49" spans="1:12">
      <c r="A49" s="14"/>
      <c r="B49" s="15"/>
      <c r="C49" s="52" t="s">
        <v>22</v>
      </c>
      <c r="D49" s="58" t="s">
        <v>11</v>
      </c>
      <c r="E49" s="91">
        <f>E48</f>
        <v>0.32450000000000001</v>
      </c>
      <c r="F49" s="92"/>
      <c r="G49" s="62">
        <f>E49*F49</f>
        <v>0</v>
      </c>
      <c r="H49" s="112"/>
      <c r="I49" s="42"/>
      <c r="J49" s="42"/>
    </row>
    <row r="50" spans="1:12">
      <c r="A50" s="14"/>
      <c r="B50" s="15" t="s">
        <v>52</v>
      </c>
      <c r="C50" s="52" t="s">
        <v>12</v>
      </c>
      <c r="D50" s="58" t="s">
        <v>10</v>
      </c>
      <c r="E50" s="91">
        <f>E48*6.4</f>
        <v>2.0768</v>
      </c>
      <c r="F50" s="92"/>
      <c r="G50" s="62">
        <f t="shared" ref="G50" si="7">E50*F50</f>
        <v>0</v>
      </c>
      <c r="H50" s="112"/>
      <c r="I50" s="16"/>
    </row>
    <row r="51" spans="1:12">
      <c r="A51" s="14"/>
      <c r="B51" s="82"/>
      <c r="C51" s="52" t="s">
        <v>38</v>
      </c>
      <c r="D51" s="58" t="s">
        <v>64</v>
      </c>
      <c r="E51" s="91">
        <f>E48</f>
        <v>0.32450000000000001</v>
      </c>
      <c r="F51" s="92"/>
      <c r="G51" s="62">
        <f>E51*F51</f>
        <v>0</v>
      </c>
      <c r="H51" s="112"/>
      <c r="I51" s="16"/>
    </row>
    <row r="52" spans="1:12" ht="25.5">
      <c r="A52" s="14">
        <v>20</v>
      </c>
      <c r="B52" s="82"/>
      <c r="C52" s="52" t="s">
        <v>25</v>
      </c>
      <c r="D52" s="58" t="s">
        <v>11</v>
      </c>
      <c r="E52" s="91">
        <f>E48</f>
        <v>0.32450000000000001</v>
      </c>
      <c r="F52" s="92"/>
      <c r="G52" s="62">
        <f t="shared" ref="G52" si="8">E52*F52</f>
        <v>0</v>
      </c>
      <c r="H52" s="114"/>
      <c r="I52" s="16"/>
    </row>
    <row r="53" spans="1:12" s="12" customFormat="1" ht="25.5">
      <c r="A53" s="84">
        <v>21</v>
      </c>
      <c r="B53" s="11"/>
      <c r="C53" s="11" t="s">
        <v>83</v>
      </c>
      <c r="D53" s="57" t="s">
        <v>11</v>
      </c>
      <c r="E53" s="100">
        <v>0.32450000000000001</v>
      </c>
      <c r="F53" s="59"/>
      <c r="G53" s="63"/>
      <c r="H53" s="113"/>
      <c r="L53" s="13"/>
    </row>
    <row r="54" spans="1:12">
      <c r="A54" s="14"/>
      <c r="B54" s="15"/>
      <c r="C54" s="52" t="s">
        <v>22</v>
      </c>
      <c r="D54" s="58" t="s">
        <v>11</v>
      </c>
      <c r="E54" s="91">
        <f>E53</f>
        <v>0.32450000000000001</v>
      </c>
      <c r="F54" s="92"/>
      <c r="G54" s="62">
        <f>E54*F54</f>
        <v>0</v>
      </c>
      <c r="H54" s="112"/>
      <c r="I54" s="42"/>
      <c r="J54" s="42"/>
    </row>
    <row r="55" spans="1:12">
      <c r="A55" s="14"/>
      <c r="B55" s="15" t="s">
        <v>54</v>
      </c>
      <c r="C55" s="52" t="s">
        <v>12</v>
      </c>
      <c r="D55" s="58" t="s">
        <v>10</v>
      </c>
      <c r="E55" s="91">
        <f>E53*4.91</f>
        <v>1.5932950000000001</v>
      </c>
      <c r="F55" s="92"/>
      <c r="G55" s="62">
        <f t="shared" ref="G55" si="9">E55*F55</f>
        <v>0</v>
      </c>
      <c r="H55" s="112"/>
      <c r="I55" s="16"/>
    </row>
    <row r="56" spans="1:12">
      <c r="A56" s="14"/>
      <c r="B56" s="82"/>
      <c r="C56" s="52" t="s">
        <v>38</v>
      </c>
      <c r="D56" s="58" t="s">
        <v>64</v>
      </c>
      <c r="E56" s="91">
        <f>E53</f>
        <v>0.32450000000000001</v>
      </c>
      <c r="F56" s="92"/>
      <c r="G56" s="62">
        <f>E56*F56</f>
        <v>0</v>
      </c>
      <c r="H56" s="112"/>
      <c r="I56" s="16"/>
    </row>
    <row r="57" spans="1:12" ht="25.5">
      <c r="A57" s="10">
        <v>22</v>
      </c>
      <c r="B57" s="11"/>
      <c r="C57" s="11" t="s">
        <v>85</v>
      </c>
      <c r="D57" s="57" t="s">
        <v>11</v>
      </c>
      <c r="E57" s="100">
        <v>0.48287999999999998</v>
      </c>
      <c r="F57" s="59"/>
      <c r="G57" s="64"/>
      <c r="H57" s="115"/>
      <c r="I57" s="16"/>
    </row>
    <row r="58" spans="1:12">
      <c r="A58" s="14"/>
      <c r="B58" s="15"/>
      <c r="C58" s="52" t="s">
        <v>22</v>
      </c>
      <c r="D58" s="58" t="s">
        <v>11</v>
      </c>
      <c r="E58" s="91">
        <f>E57</f>
        <v>0.48287999999999998</v>
      </c>
      <c r="F58" s="92"/>
      <c r="G58" s="62">
        <f>E58*F58</f>
        <v>0</v>
      </c>
      <c r="H58" s="112"/>
      <c r="I58" s="42"/>
      <c r="J58" s="42"/>
    </row>
    <row r="59" spans="1:12">
      <c r="A59" s="14"/>
      <c r="B59" s="15" t="s">
        <v>51</v>
      </c>
      <c r="C59" s="52" t="s">
        <v>12</v>
      </c>
      <c r="D59" s="58" t="s">
        <v>10</v>
      </c>
      <c r="E59" s="91">
        <f>E57*4.4</f>
        <v>2.1246719999999999</v>
      </c>
      <c r="F59" s="92"/>
      <c r="G59" s="62">
        <f t="shared" ref="G59:G61" si="10">E59*F59</f>
        <v>0</v>
      </c>
      <c r="H59" s="112"/>
      <c r="I59" s="16"/>
    </row>
    <row r="60" spans="1:12">
      <c r="A60" s="14"/>
      <c r="B60" s="82"/>
      <c r="C60" s="52" t="s">
        <v>38</v>
      </c>
      <c r="D60" s="58" t="s">
        <v>64</v>
      </c>
      <c r="E60" s="91">
        <f>E57</f>
        <v>0.48287999999999998</v>
      </c>
      <c r="F60" s="92"/>
      <c r="G60" s="62">
        <f>E60*F60</f>
        <v>0</v>
      </c>
      <c r="H60" s="112"/>
      <c r="I60" s="16"/>
    </row>
    <row r="61" spans="1:12">
      <c r="A61" s="14">
        <v>23</v>
      </c>
      <c r="B61" s="15"/>
      <c r="C61" s="52" t="s">
        <v>84</v>
      </c>
      <c r="D61" s="58" t="s">
        <v>11</v>
      </c>
      <c r="E61" s="91">
        <v>0.5118528</v>
      </c>
      <c r="F61" s="92"/>
      <c r="G61" s="62">
        <f t="shared" si="10"/>
        <v>0</v>
      </c>
      <c r="H61" s="112"/>
      <c r="I61" s="16"/>
    </row>
    <row r="62" spans="1:12" ht="25.5">
      <c r="A62" s="10">
        <v>24</v>
      </c>
      <c r="B62" s="11"/>
      <c r="C62" s="11" t="s">
        <v>86</v>
      </c>
      <c r="D62" s="57" t="s">
        <v>11</v>
      </c>
      <c r="E62" s="100">
        <v>0.48287999999999998</v>
      </c>
      <c r="F62" s="59"/>
      <c r="G62" s="64"/>
      <c r="H62" s="115"/>
      <c r="I62" s="16"/>
    </row>
    <row r="63" spans="1:12">
      <c r="A63" s="14"/>
      <c r="B63" s="15"/>
      <c r="C63" s="52" t="s">
        <v>22</v>
      </c>
      <c r="D63" s="58" t="s">
        <v>11</v>
      </c>
      <c r="E63" s="91">
        <f>E62</f>
        <v>0.48287999999999998</v>
      </c>
      <c r="F63" s="92"/>
      <c r="G63" s="62">
        <f>E63*F63</f>
        <v>0</v>
      </c>
      <c r="H63" s="112"/>
      <c r="I63" s="42"/>
      <c r="J63" s="42"/>
    </row>
    <row r="64" spans="1:12">
      <c r="A64" s="14"/>
      <c r="B64" s="15" t="s">
        <v>53</v>
      </c>
      <c r="C64" s="52" t="s">
        <v>12</v>
      </c>
      <c r="D64" s="58" t="s">
        <v>10</v>
      </c>
      <c r="E64" s="91">
        <f>E62*5.83</f>
        <v>2.8151904000000001</v>
      </c>
      <c r="F64" s="92"/>
      <c r="G64" s="62">
        <f t="shared" ref="G64" si="11">E64*F64</f>
        <v>0</v>
      </c>
      <c r="H64" s="112"/>
      <c r="I64" s="16"/>
    </row>
    <row r="65" spans="1:10">
      <c r="A65" s="14"/>
      <c r="B65" s="82"/>
      <c r="C65" s="52" t="s">
        <v>38</v>
      </c>
      <c r="D65" s="58" t="s">
        <v>64</v>
      </c>
      <c r="E65" s="91">
        <f>E62</f>
        <v>0.48287999999999998</v>
      </c>
      <c r="F65" s="92"/>
      <c r="G65" s="62">
        <f>E65*F65</f>
        <v>0</v>
      </c>
      <c r="H65" s="112"/>
      <c r="I65" s="16"/>
    </row>
    <row r="66" spans="1:10" ht="38.25">
      <c r="A66" s="10">
        <v>25</v>
      </c>
      <c r="B66" s="11"/>
      <c r="C66" s="11" t="s">
        <v>87</v>
      </c>
      <c r="D66" s="57" t="s">
        <v>11</v>
      </c>
      <c r="E66" s="100">
        <v>2.1240199999999998</v>
      </c>
      <c r="F66" s="59"/>
      <c r="G66" s="64"/>
      <c r="H66" s="115"/>
      <c r="I66" s="16"/>
    </row>
    <row r="67" spans="1:10">
      <c r="A67" s="14"/>
      <c r="B67" s="15"/>
      <c r="C67" s="52" t="s">
        <v>22</v>
      </c>
      <c r="D67" s="58" t="s">
        <v>11</v>
      </c>
      <c r="E67" s="91">
        <f>E66</f>
        <v>2.1240199999999998</v>
      </c>
      <c r="F67" s="92"/>
      <c r="G67" s="62">
        <f>E67*F67</f>
        <v>0</v>
      </c>
      <c r="H67" s="112"/>
      <c r="I67" s="42"/>
      <c r="J67" s="42"/>
    </row>
    <row r="68" spans="1:10">
      <c r="A68" s="14"/>
      <c r="B68" s="15" t="s">
        <v>88</v>
      </c>
      <c r="C68" s="52" t="s">
        <v>12</v>
      </c>
      <c r="D68" s="58" t="s">
        <v>10</v>
      </c>
      <c r="E68" s="91">
        <f>E66*2.4</f>
        <v>5.0976479999999995</v>
      </c>
      <c r="F68" s="92"/>
      <c r="G68" s="62">
        <f t="shared" ref="G68" si="12">E68*F68</f>
        <v>0</v>
      </c>
      <c r="H68" s="112"/>
      <c r="I68" s="16"/>
    </row>
    <row r="69" spans="1:10">
      <c r="A69" s="14"/>
      <c r="B69" s="82"/>
      <c r="C69" s="52" t="s">
        <v>38</v>
      </c>
      <c r="D69" s="58" t="s">
        <v>64</v>
      </c>
      <c r="E69" s="91">
        <f>E66</f>
        <v>2.1240199999999998</v>
      </c>
      <c r="F69" s="92"/>
      <c r="G69" s="62">
        <f>E69*F69</f>
        <v>0</v>
      </c>
      <c r="H69" s="112"/>
      <c r="I69" s="16"/>
    </row>
    <row r="70" spans="1:10" ht="25.5">
      <c r="A70" s="14">
        <v>26</v>
      </c>
      <c r="B70" s="82"/>
      <c r="C70" s="52" t="s">
        <v>25</v>
      </c>
      <c r="D70" s="58" t="s">
        <v>11</v>
      </c>
      <c r="E70" s="91">
        <v>2.1919886399999999</v>
      </c>
      <c r="F70" s="92"/>
      <c r="G70" s="62">
        <f t="shared" ref="G70" si="13">E70*F70</f>
        <v>0</v>
      </c>
      <c r="H70" s="114"/>
      <c r="I70" s="16"/>
    </row>
    <row r="71" spans="1:10" ht="51">
      <c r="A71" s="10">
        <v>27</v>
      </c>
      <c r="B71" s="11"/>
      <c r="C71" s="11" t="s">
        <v>89</v>
      </c>
      <c r="D71" s="57" t="s">
        <v>11</v>
      </c>
      <c r="E71" s="100">
        <v>2.1240199999999998</v>
      </c>
      <c r="F71" s="59"/>
      <c r="G71" s="64"/>
      <c r="H71" s="115"/>
      <c r="I71" s="16"/>
    </row>
    <row r="72" spans="1:10">
      <c r="A72" s="14"/>
      <c r="B72" s="15"/>
      <c r="C72" s="52" t="s">
        <v>22</v>
      </c>
      <c r="D72" s="58" t="s">
        <v>11</v>
      </c>
      <c r="E72" s="91">
        <f>E71</f>
        <v>2.1240199999999998</v>
      </c>
      <c r="F72" s="92"/>
      <c r="G72" s="62">
        <f>E72*F72</f>
        <v>0</v>
      </c>
      <c r="H72" s="112"/>
      <c r="I72" s="42"/>
      <c r="J72" s="42"/>
    </row>
    <row r="73" spans="1:10">
      <c r="A73" s="14"/>
      <c r="B73" s="15" t="s">
        <v>90</v>
      </c>
      <c r="C73" s="52" t="s">
        <v>12</v>
      </c>
      <c r="D73" s="58" t="s">
        <v>10</v>
      </c>
      <c r="E73" s="91">
        <f>E71*15.1</f>
        <v>32.072702</v>
      </c>
      <c r="F73" s="92"/>
      <c r="G73" s="62">
        <f t="shared" ref="G73" si="14">E73*F73</f>
        <v>0</v>
      </c>
      <c r="H73" s="112"/>
      <c r="I73" s="16"/>
    </row>
    <row r="74" spans="1:10">
      <c r="A74" s="14"/>
      <c r="B74" s="82"/>
      <c r="C74" s="52" t="s">
        <v>38</v>
      </c>
      <c r="D74" s="58" t="s">
        <v>64</v>
      </c>
      <c r="E74" s="91">
        <f>E71</f>
        <v>2.1240199999999998</v>
      </c>
      <c r="F74" s="92"/>
      <c r="G74" s="62">
        <f>E74*F74</f>
        <v>0</v>
      </c>
      <c r="H74" s="112"/>
      <c r="I74" s="16"/>
    </row>
    <row r="75" spans="1:10" ht="51">
      <c r="A75" s="10">
        <v>28</v>
      </c>
      <c r="B75" s="11"/>
      <c r="C75" s="11" t="s">
        <v>91</v>
      </c>
      <c r="D75" s="57" t="s">
        <v>11</v>
      </c>
      <c r="E75" s="100">
        <v>2.1240199999999998</v>
      </c>
      <c r="F75" s="59"/>
      <c r="G75" s="64"/>
      <c r="H75" s="115"/>
      <c r="I75" s="16"/>
    </row>
    <row r="76" spans="1:10">
      <c r="A76" s="14"/>
      <c r="B76" s="15"/>
      <c r="C76" s="52" t="s">
        <v>22</v>
      </c>
      <c r="D76" s="58" t="s">
        <v>11</v>
      </c>
      <c r="E76" s="91">
        <f>E75</f>
        <v>2.1240199999999998</v>
      </c>
      <c r="F76" s="92"/>
      <c r="G76" s="62">
        <f>E76*F76</f>
        <v>0</v>
      </c>
      <c r="H76" s="112"/>
      <c r="I76" s="42"/>
      <c r="J76" s="42"/>
    </row>
    <row r="77" spans="1:10">
      <c r="A77" s="14"/>
      <c r="B77" s="15" t="s">
        <v>90</v>
      </c>
      <c r="C77" s="52" t="s">
        <v>12</v>
      </c>
      <c r="D77" s="58" t="s">
        <v>10</v>
      </c>
      <c r="E77" s="91">
        <f>E75*15.1/2</f>
        <v>16.036351</v>
      </c>
      <c r="F77" s="92"/>
      <c r="G77" s="62">
        <f t="shared" ref="G77" si="15">E77*F77</f>
        <v>0</v>
      </c>
      <c r="H77" s="112"/>
      <c r="I77" s="16"/>
    </row>
    <row r="78" spans="1:10">
      <c r="A78" s="14"/>
      <c r="B78" s="82"/>
      <c r="C78" s="52" t="s">
        <v>38</v>
      </c>
      <c r="D78" s="58" t="s">
        <v>64</v>
      </c>
      <c r="E78" s="91">
        <f>E75</f>
        <v>2.1240199999999998</v>
      </c>
      <c r="F78" s="92"/>
      <c r="G78" s="62">
        <f>E78*F78</f>
        <v>0</v>
      </c>
      <c r="H78" s="112"/>
      <c r="I78" s="16"/>
    </row>
    <row r="79" spans="1:10">
      <c r="A79" s="10">
        <v>29</v>
      </c>
      <c r="B79" s="11"/>
      <c r="C79" s="11" t="s">
        <v>92</v>
      </c>
      <c r="D79" s="57" t="s">
        <v>11</v>
      </c>
      <c r="E79" s="100">
        <v>1.5100000000000001E-2</v>
      </c>
      <c r="F79" s="59"/>
      <c r="G79" s="64"/>
      <c r="H79" s="115"/>
      <c r="I79" s="16"/>
    </row>
    <row r="80" spans="1:10">
      <c r="A80" s="14"/>
      <c r="B80" s="15"/>
      <c r="C80" s="52" t="s">
        <v>22</v>
      </c>
      <c r="D80" s="58" t="s">
        <v>11</v>
      </c>
      <c r="E80" s="91">
        <f>E79</f>
        <v>1.5100000000000001E-2</v>
      </c>
      <c r="F80" s="92"/>
      <c r="G80" s="62">
        <f>E80*F80</f>
        <v>0</v>
      </c>
      <c r="H80" s="112"/>
      <c r="I80" s="42"/>
      <c r="J80" s="42"/>
    </row>
    <row r="81" spans="1:10">
      <c r="A81" s="14"/>
      <c r="B81" s="15" t="s">
        <v>47</v>
      </c>
      <c r="C81" s="52" t="s">
        <v>12</v>
      </c>
      <c r="D81" s="58" t="s">
        <v>10</v>
      </c>
      <c r="E81" s="91">
        <f>E79*11.6</f>
        <v>0.17516000000000001</v>
      </c>
      <c r="F81" s="92"/>
      <c r="G81" s="62">
        <f t="shared" ref="G81" si="16">E81*F81</f>
        <v>0</v>
      </c>
      <c r="H81" s="112"/>
      <c r="I81" s="16"/>
    </row>
    <row r="82" spans="1:10">
      <c r="A82" s="14"/>
      <c r="B82" s="82"/>
      <c r="C82" s="52" t="s">
        <v>38</v>
      </c>
      <c r="D82" s="58" t="s">
        <v>64</v>
      </c>
      <c r="E82" s="91">
        <f>E79</f>
        <v>1.5100000000000001E-2</v>
      </c>
      <c r="F82" s="92"/>
      <c r="G82" s="62">
        <f>E82*F82</f>
        <v>0</v>
      </c>
      <c r="H82" s="112"/>
      <c r="I82" s="16"/>
    </row>
    <row r="83" spans="1:10" ht="38.25">
      <c r="A83" s="14">
        <v>30</v>
      </c>
      <c r="B83" s="82"/>
      <c r="C83" s="52" t="s">
        <v>93</v>
      </c>
      <c r="D83" s="58" t="s">
        <v>30</v>
      </c>
      <c r="E83" s="91">
        <v>1</v>
      </c>
      <c r="F83" s="92"/>
      <c r="G83" s="62">
        <f t="shared" ref="G83:G85" si="17">E83*F83</f>
        <v>0</v>
      </c>
      <c r="H83" s="112"/>
      <c r="I83" s="16"/>
    </row>
    <row r="84" spans="1:10">
      <c r="A84" s="14">
        <v>31</v>
      </c>
      <c r="B84" s="82"/>
      <c r="C84" s="52" t="s">
        <v>94</v>
      </c>
      <c r="D84" s="58" t="s">
        <v>11</v>
      </c>
      <c r="E84" s="91">
        <v>6.4000000000000003E-3</v>
      </c>
      <c r="F84" s="92"/>
      <c r="G84" s="62">
        <f t="shared" si="17"/>
        <v>0</v>
      </c>
      <c r="H84" s="112"/>
      <c r="I84" s="16"/>
    </row>
    <row r="85" spans="1:10" ht="25.5">
      <c r="A85" s="14">
        <v>32</v>
      </c>
      <c r="B85" s="82"/>
      <c r="C85" s="52" t="s">
        <v>95</v>
      </c>
      <c r="D85" s="58" t="s">
        <v>11</v>
      </c>
      <c r="E85" s="91">
        <v>1.6999999999999999E-3</v>
      </c>
      <c r="F85" s="92"/>
      <c r="G85" s="62">
        <f t="shared" si="17"/>
        <v>0</v>
      </c>
      <c r="H85" s="112"/>
      <c r="I85" s="16"/>
    </row>
    <row r="86" spans="1:10">
      <c r="A86" s="10">
        <v>33</v>
      </c>
      <c r="B86" s="11"/>
      <c r="C86" s="11" t="s">
        <v>96</v>
      </c>
      <c r="D86" s="57" t="s">
        <v>11</v>
      </c>
      <c r="E86" s="100">
        <v>1.5100000000000001E-2</v>
      </c>
      <c r="F86" s="59"/>
      <c r="G86" s="64"/>
      <c r="H86" s="115"/>
      <c r="I86" s="16"/>
    </row>
    <row r="87" spans="1:10">
      <c r="A87" s="14"/>
      <c r="B87" s="15"/>
      <c r="C87" s="52" t="s">
        <v>22</v>
      </c>
      <c r="D87" s="58" t="s">
        <v>11</v>
      </c>
      <c r="E87" s="91">
        <f>E86</f>
        <v>1.5100000000000001E-2</v>
      </c>
      <c r="F87" s="92"/>
      <c r="G87" s="62">
        <f>E87*F87</f>
        <v>0</v>
      </c>
      <c r="H87" s="112"/>
      <c r="I87" s="42"/>
      <c r="J87" s="42"/>
    </row>
    <row r="88" spans="1:10">
      <c r="A88" s="14"/>
      <c r="B88" s="15" t="s">
        <v>97</v>
      </c>
      <c r="C88" s="52" t="s">
        <v>12</v>
      </c>
      <c r="D88" s="58" t="s">
        <v>10</v>
      </c>
      <c r="E88" s="91">
        <f>E86*0.05</f>
        <v>7.5500000000000003E-4</v>
      </c>
      <c r="F88" s="92"/>
      <c r="G88" s="62">
        <f t="shared" ref="G88" si="18">E88*F88</f>
        <v>0</v>
      </c>
      <c r="H88" s="112"/>
      <c r="I88" s="16"/>
    </row>
    <row r="89" spans="1:10">
      <c r="A89" s="14"/>
      <c r="B89" s="82"/>
      <c r="C89" s="52" t="s">
        <v>38</v>
      </c>
      <c r="D89" s="58" t="s">
        <v>64</v>
      </c>
      <c r="E89" s="91">
        <f>E86</f>
        <v>1.5100000000000001E-2</v>
      </c>
      <c r="F89" s="92"/>
      <c r="G89" s="62">
        <f>E89*F89</f>
        <v>0</v>
      </c>
      <c r="H89" s="112"/>
      <c r="I89" s="16"/>
    </row>
    <row r="90" spans="1:10" ht="25.5">
      <c r="A90" s="10">
        <v>34</v>
      </c>
      <c r="B90" s="11"/>
      <c r="C90" s="11" t="s">
        <v>98</v>
      </c>
      <c r="D90" s="57" t="s">
        <v>29</v>
      </c>
      <c r="E90" s="100">
        <v>0.5</v>
      </c>
      <c r="F90" s="59"/>
      <c r="G90" s="64"/>
      <c r="H90" s="115"/>
      <c r="I90" s="16"/>
    </row>
    <row r="91" spans="1:10">
      <c r="A91" s="14"/>
      <c r="B91" s="15"/>
      <c r="C91" s="52" t="s">
        <v>22</v>
      </c>
      <c r="D91" s="58" t="s">
        <v>29</v>
      </c>
      <c r="E91" s="91">
        <f>E90</f>
        <v>0.5</v>
      </c>
      <c r="F91" s="92"/>
      <c r="G91" s="62">
        <f>E91*F91</f>
        <v>0</v>
      </c>
      <c r="H91" s="112"/>
      <c r="I91" s="42"/>
      <c r="J91" s="42"/>
    </row>
    <row r="92" spans="1:10">
      <c r="A92" s="14"/>
      <c r="B92" s="15" t="s">
        <v>47</v>
      </c>
      <c r="C92" s="52" t="s">
        <v>12</v>
      </c>
      <c r="D92" s="58" t="s">
        <v>10</v>
      </c>
      <c r="E92" s="91">
        <f>E90*11.6</f>
        <v>5.8</v>
      </c>
      <c r="F92" s="92"/>
      <c r="G92" s="62">
        <f t="shared" ref="G92" si="19">E92*F92</f>
        <v>0</v>
      </c>
      <c r="H92" s="112"/>
      <c r="I92" s="16"/>
    </row>
    <row r="93" spans="1:10">
      <c r="A93" s="14"/>
      <c r="B93" s="82"/>
      <c r="C93" s="52" t="s">
        <v>38</v>
      </c>
      <c r="D93" s="58" t="s">
        <v>101</v>
      </c>
      <c r="E93" s="91">
        <f>E90</f>
        <v>0.5</v>
      </c>
      <c r="F93" s="92"/>
      <c r="G93" s="62">
        <f>E93*F93</f>
        <v>0</v>
      </c>
      <c r="H93" s="112"/>
      <c r="I93" s="16"/>
    </row>
    <row r="94" spans="1:10" ht="25.5">
      <c r="A94" s="10">
        <v>35</v>
      </c>
      <c r="B94" s="11"/>
      <c r="C94" s="11" t="s">
        <v>99</v>
      </c>
      <c r="D94" s="57" t="s">
        <v>31</v>
      </c>
      <c r="E94" s="100">
        <v>100</v>
      </c>
      <c r="F94" s="59"/>
      <c r="G94" s="64"/>
      <c r="H94" s="115"/>
      <c r="I94" s="16"/>
    </row>
    <row r="95" spans="1:10">
      <c r="A95" s="14"/>
      <c r="B95" s="15"/>
      <c r="C95" s="52" t="s">
        <v>22</v>
      </c>
      <c r="D95" s="58" t="s">
        <v>19</v>
      </c>
      <c r="E95" s="91">
        <f>E94*100</f>
        <v>10000</v>
      </c>
      <c r="F95" s="119">
        <v>0</v>
      </c>
      <c r="G95" s="62">
        <f>E95*F95</f>
        <v>0</v>
      </c>
      <c r="H95" s="112"/>
      <c r="I95" s="42"/>
      <c r="J95" s="42"/>
    </row>
    <row r="96" spans="1:10">
      <c r="A96" s="14"/>
      <c r="B96" s="15"/>
      <c r="C96" s="52" t="s">
        <v>12</v>
      </c>
      <c r="D96" s="58" t="s">
        <v>10</v>
      </c>
      <c r="E96" s="91">
        <v>72</v>
      </c>
      <c r="F96" s="119">
        <v>0</v>
      </c>
      <c r="G96" s="62">
        <f t="shared" ref="G96" si="20">E96*F96</f>
        <v>0</v>
      </c>
      <c r="H96" s="112"/>
      <c r="I96" s="16"/>
    </row>
    <row r="97" spans="1:10">
      <c r="A97" s="14"/>
      <c r="B97" s="82"/>
      <c r="C97" s="52" t="s">
        <v>38</v>
      </c>
      <c r="D97" s="58" t="s">
        <v>100</v>
      </c>
      <c r="E97" s="91">
        <f>E94*100</f>
        <v>10000</v>
      </c>
      <c r="F97" s="119">
        <v>0</v>
      </c>
      <c r="G97" s="62">
        <f>E97*F97</f>
        <v>0</v>
      </c>
      <c r="H97" s="112"/>
      <c r="I97" s="16"/>
    </row>
    <row r="98" spans="1:10" ht="27.6" customHeight="1">
      <c r="A98" s="14"/>
      <c r="B98" s="15"/>
      <c r="C98" s="68" t="s">
        <v>102</v>
      </c>
      <c r="D98" s="58"/>
      <c r="E98" s="91"/>
      <c r="F98" s="60"/>
      <c r="G98" s="62"/>
      <c r="H98" s="112"/>
      <c r="I98" s="16"/>
    </row>
    <row r="99" spans="1:10">
      <c r="A99" s="10">
        <v>36</v>
      </c>
      <c r="B99" s="11"/>
      <c r="C99" s="11" t="s">
        <v>103</v>
      </c>
      <c r="D99" s="57" t="s">
        <v>31</v>
      </c>
      <c r="E99" s="100">
        <v>0.13100000000000001</v>
      </c>
      <c r="F99" s="59"/>
      <c r="G99" s="64"/>
      <c r="H99" s="115"/>
      <c r="I99" s="16"/>
    </row>
    <row r="100" spans="1:10">
      <c r="A100" s="14"/>
      <c r="B100" s="15"/>
      <c r="C100" s="52" t="s">
        <v>22</v>
      </c>
      <c r="D100" s="58" t="s">
        <v>19</v>
      </c>
      <c r="E100" s="91">
        <f>E99*100</f>
        <v>13.100000000000001</v>
      </c>
      <c r="F100" s="92"/>
      <c r="G100" s="62">
        <f>E100*F100</f>
        <v>0</v>
      </c>
      <c r="H100" s="112"/>
      <c r="I100" s="42"/>
      <c r="J100" s="42"/>
    </row>
    <row r="101" spans="1:10">
      <c r="A101" s="14"/>
      <c r="B101" s="15" t="s">
        <v>104</v>
      </c>
      <c r="C101" s="52" t="s">
        <v>12</v>
      </c>
      <c r="D101" s="58" t="s">
        <v>10</v>
      </c>
      <c r="E101" s="91">
        <f>E99*100*0.3178</f>
        <v>4.1631800000000005</v>
      </c>
      <c r="F101" s="92"/>
      <c r="G101" s="62">
        <f t="shared" ref="G101" si="21">E101*F101</f>
        <v>0</v>
      </c>
      <c r="H101" s="112"/>
      <c r="I101" s="16"/>
    </row>
    <row r="102" spans="1:10">
      <c r="A102" s="14"/>
      <c r="B102" s="82"/>
      <c r="C102" s="52" t="s">
        <v>38</v>
      </c>
      <c r="D102" s="58" t="s">
        <v>100</v>
      </c>
      <c r="E102" s="91">
        <f>E99*100</f>
        <v>13.100000000000001</v>
      </c>
      <c r="F102" s="92"/>
      <c r="G102" s="62">
        <f>E102*F102</f>
        <v>0</v>
      </c>
      <c r="H102" s="112"/>
      <c r="I102" s="16"/>
    </row>
    <row r="103" spans="1:10" ht="25.5">
      <c r="A103" s="10">
        <v>37</v>
      </c>
      <c r="B103" s="11"/>
      <c r="C103" s="11" t="s">
        <v>32</v>
      </c>
      <c r="D103" s="57" t="s">
        <v>105</v>
      </c>
      <c r="E103" s="100">
        <v>7.7</v>
      </c>
      <c r="F103" s="59"/>
      <c r="G103" s="64"/>
      <c r="H103" s="115"/>
      <c r="I103" s="16"/>
    </row>
    <row r="104" spans="1:10">
      <c r="A104" s="14"/>
      <c r="B104" s="15"/>
      <c r="C104" s="52" t="s">
        <v>22</v>
      </c>
      <c r="D104" s="58" t="s">
        <v>19</v>
      </c>
      <c r="E104" s="91">
        <f>E103</f>
        <v>7.7</v>
      </c>
      <c r="F104" s="92"/>
      <c r="G104" s="62">
        <f>E104*F104</f>
        <v>0</v>
      </c>
      <c r="H104" s="112"/>
      <c r="I104" s="42"/>
      <c r="J104" s="42"/>
    </row>
    <row r="105" spans="1:10">
      <c r="A105" s="14"/>
      <c r="B105" s="15" t="s">
        <v>48</v>
      </c>
      <c r="C105" s="52" t="s">
        <v>12</v>
      </c>
      <c r="D105" s="58" t="s">
        <v>10</v>
      </c>
      <c r="E105" s="91">
        <f>E103*0.55</f>
        <v>4.2350000000000003</v>
      </c>
      <c r="F105" s="92"/>
      <c r="G105" s="62">
        <f t="shared" ref="G105:G106" si="22">E105*F105</f>
        <v>0</v>
      </c>
      <c r="H105" s="112"/>
      <c r="I105" s="16"/>
    </row>
    <row r="106" spans="1:10">
      <c r="A106" s="14"/>
      <c r="B106" s="15"/>
      <c r="C106" s="52" t="s">
        <v>33</v>
      </c>
      <c r="D106" s="58" t="s">
        <v>19</v>
      </c>
      <c r="E106" s="91">
        <f>E103*1.28</f>
        <v>9.8559999999999999</v>
      </c>
      <c r="F106" s="92"/>
      <c r="G106" s="62">
        <f t="shared" si="22"/>
        <v>0</v>
      </c>
      <c r="H106" s="112"/>
      <c r="I106" s="16"/>
    </row>
    <row r="107" spans="1:10" ht="25.5">
      <c r="A107" s="10">
        <v>38</v>
      </c>
      <c r="B107" s="11"/>
      <c r="C107" s="11" t="s">
        <v>34</v>
      </c>
      <c r="D107" s="57" t="s">
        <v>35</v>
      </c>
      <c r="E107" s="100">
        <v>0.13100000000000001</v>
      </c>
      <c r="F107" s="59"/>
      <c r="G107" s="64"/>
      <c r="H107" s="115"/>
      <c r="I107" s="16"/>
    </row>
    <row r="108" spans="1:10">
      <c r="A108" s="14"/>
      <c r="B108" s="15"/>
      <c r="C108" s="52" t="s">
        <v>22</v>
      </c>
      <c r="D108" s="58" t="s">
        <v>20</v>
      </c>
      <c r="E108" s="91">
        <f>E107*1000</f>
        <v>131</v>
      </c>
      <c r="F108" s="92"/>
      <c r="G108" s="62">
        <f>E108*F108</f>
        <v>0</v>
      </c>
      <c r="H108" s="112"/>
      <c r="I108" s="42"/>
      <c r="J108" s="42"/>
    </row>
    <row r="109" spans="1:10">
      <c r="A109" s="14"/>
      <c r="B109" s="15" t="s">
        <v>49</v>
      </c>
      <c r="C109" s="52" t="s">
        <v>12</v>
      </c>
      <c r="D109" s="58" t="s">
        <v>10</v>
      </c>
      <c r="E109" s="91">
        <f>E107*0.16</f>
        <v>2.0960000000000003E-2</v>
      </c>
      <c r="F109" s="92"/>
      <c r="G109" s="62">
        <f t="shared" ref="G109:G110" si="23">E109*F109</f>
        <v>0</v>
      </c>
      <c r="H109" s="112"/>
      <c r="I109" s="16"/>
    </row>
    <row r="110" spans="1:10">
      <c r="A110" s="14">
        <v>39</v>
      </c>
      <c r="B110" s="15"/>
      <c r="C110" s="52" t="s">
        <v>106</v>
      </c>
      <c r="D110" s="58" t="s">
        <v>11</v>
      </c>
      <c r="E110" s="91">
        <v>0.434</v>
      </c>
      <c r="F110" s="92"/>
      <c r="G110" s="62">
        <f t="shared" si="23"/>
        <v>0</v>
      </c>
      <c r="H110" s="112"/>
      <c r="I110" s="16"/>
    </row>
    <row r="111" spans="1:10" ht="42" customHeight="1">
      <c r="A111" s="10">
        <v>40</v>
      </c>
      <c r="B111" s="11"/>
      <c r="C111" s="11" t="s">
        <v>36</v>
      </c>
      <c r="D111" s="57" t="s">
        <v>35</v>
      </c>
      <c r="E111" s="100">
        <v>0.13100000000000001</v>
      </c>
      <c r="F111" s="59"/>
      <c r="G111" s="64"/>
      <c r="H111" s="115"/>
    </row>
    <row r="112" spans="1:10">
      <c r="A112" s="14"/>
      <c r="B112" s="15"/>
      <c r="C112" s="52" t="s">
        <v>22</v>
      </c>
      <c r="D112" s="58" t="s">
        <v>20</v>
      </c>
      <c r="E112" s="91">
        <f>E111*1000</f>
        <v>131</v>
      </c>
      <c r="F112" s="92"/>
      <c r="G112" s="62">
        <f>E112*F112</f>
        <v>0</v>
      </c>
      <c r="H112" s="112"/>
      <c r="I112" s="42"/>
      <c r="J112" s="42"/>
    </row>
    <row r="113" spans="1:12">
      <c r="A113" s="14"/>
      <c r="B113" s="15" t="s">
        <v>50</v>
      </c>
      <c r="C113" s="52" t="s">
        <v>12</v>
      </c>
      <c r="D113" s="58" t="s">
        <v>10</v>
      </c>
      <c r="E113" s="91">
        <f>E111*(11.02*10/2)</f>
        <v>7.2180999999999997</v>
      </c>
      <c r="F113" s="92"/>
      <c r="G113" s="62">
        <f t="shared" ref="G113:G114" si="24">E113*F113</f>
        <v>0</v>
      </c>
      <c r="H113" s="112"/>
      <c r="I113" s="16"/>
    </row>
    <row r="114" spans="1:12">
      <c r="A114" s="14">
        <v>41</v>
      </c>
      <c r="B114" s="15"/>
      <c r="C114" s="52" t="s">
        <v>37</v>
      </c>
      <c r="D114" s="58" t="s">
        <v>19</v>
      </c>
      <c r="E114" s="91">
        <f>E111*1000/10*1.02</f>
        <v>13.362</v>
      </c>
      <c r="F114" s="92"/>
      <c r="G114" s="62">
        <f t="shared" si="24"/>
        <v>0</v>
      </c>
      <c r="H114" s="112"/>
      <c r="I114" s="16"/>
    </row>
    <row r="115" spans="1:12" ht="42" customHeight="1">
      <c r="A115" s="10">
        <v>42</v>
      </c>
      <c r="B115" s="11"/>
      <c r="C115" s="11" t="s">
        <v>107</v>
      </c>
      <c r="D115" s="57" t="s">
        <v>108</v>
      </c>
      <c r="E115" s="100">
        <v>1.2</v>
      </c>
      <c r="F115" s="59"/>
      <c r="G115" s="64"/>
      <c r="H115" s="115"/>
    </row>
    <row r="116" spans="1:12">
      <c r="A116" s="14"/>
      <c r="B116" s="15"/>
      <c r="C116" s="52" t="s">
        <v>22</v>
      </c>
      <c r="D116" s="58" t="s">
        <v>20</v>
      </c>
      <c r="E116" s="91">
        <f>E115*100</f>
        <v>120</v>
      </c>
      <c r="F116" s="92"/>
      <c r="G116" s="62">
        <f>E116*F116</f>
        <v>0</v>
      </c>
      <c r="H116" s="112"/>
      <c r="I116" s="42"/>
      <c r="J116" s="42"/>
    </row>
    <row r="117" spans="1:12">
      <c r="A117" s="14"/>
      <c r="B117" s="15" t="s">
        <v>110</v>
      </c>
      <c r="C117" s="52" t="s">
        <v>12</v>
      </c>
      <c r="D117" s="58" t="s">
        <v>10</v>
      </c>
      <c r="E117" s="91">
        <f>(E115*100)*(0.6393/10)</f>
        <v>7.6715999999999998</v>
      </c>
      <c r="F117" s="92"/>
      <c r="G117" s="62">
        <f t="shared" ref="G117" si="25">E117*F117</f>
        <v>0</v>
      </c>
      <c r="H117" s="112"/>
      <c r="I117" s="16"/>
    </row>
    <row r="118" spans="1:12">
      <c r="A118" s="14"/>
      <c r="B118" s="82"/>
      <c r="C118" s="52" t="s">
        <v>38</v>
      </c>
      <c r="D118" s="58" t="s">
        <v>109</v>
      </c>
      <c r="E118" s="91">
        <f>E115*100</f>
        <v>120</v>
      </c>
      <c r="F118" s="92"/>
      <c r="G118" s="62">
        <f>E118*F118</f>
        <v>0</v>
      </c>
      <c r="H118" s="112"/>
      <c r="I118" s="16"/>
    </row>
    <row r="119" spans="1:12" ht="42" customHeight="1">
      <c r="A119" s="10">
        <v>43</v>
      </c>
      <c r="B119" s="11"/>
      <c r="C119" s="11" t="s">
        <v>111</v>
      </c>
      <c r="D119" s="57" t="s">
        <v>108</v>
      </c>
      <c r="E119" s="100">
        <v>1.2</v>
      </c>
      <c r="F119" s="59"/>
      <c r="G119" s="64"/>
      <c r="H119" s="115"/>
    </row>
    <row r="120" spans="1:12">
      <c r="A120" s="14"/>
      <c r="B120" s="15"/>
      <c r="C120" s="52" t="s">
        <v>22</v>
      </c>
      <c r="D120" s="58" t="s">
        <v>20</v>
      </c>
      <c r="E120" s="91">
        <f>E119*100</f>
        <v>120</v>
      </c>
      <c r="F120" s="92"/>
      <c r="G120" s="62">
        <f>E120*F120</f>
        <v>0</v>
      </c>
      <c r="H120" s="112"/>
      <c r="I120" s="42"/>
      <c r="J120" s="42"/>
    </row>
    <row r="121" spans="1:12">
      <c r="A121" s="14"/>
      <c r="B121" s="15" t="s">
        <v>110</v>
      </c>
      <c r="C121" s="52" t="s">
        <v>12</v>
      </c>
      <c r="D121" s="58" t="s">
        <v>10</v>
      </c>
      <c r="E121" s="91">
        <f>(E119*100)*(0.6393/10)*0.5</f>
        <v>3.8357999999999999</v>
      </c>
      <c r="F121" s="92"/>
      <c r="G121" s="62">
        <f t="shared" ref="G121" si="26">E121*F121</f>
        <v>0</v>
      </c>
      <c r="H121" s="112"/>
      <c r="I121" s="16"/>
    </row>
    <row r="122" spans="1:12">
      <c r="A122" s="14"/>
      <c r="B122" s="82"/>
      <c r="C122" s="52" t="s">
        <v>38</v>
      </c>
      <c r="D122" s="58" t="s">
        <v>109</v>
      </c>
      <c r="E122" s="91">
        <f>E119*100</f>
        <v>120</v>
      </c>
      <c r="F122" s="92"/>
      <c r="G122" s="62">
        <f>E122*F122</f>
        <v>0</v>
      </c>
      <c r="H122" s="112"/>
      <c r="I122" s="16"/>
    </row>
    <row r="123" spans="1:12" ht="28.9" customHeight="1">
      <c r="A123" s="14"/>
      <c r="B123" s="15"/>
      <c r="C123" s="67" t="s">
        <v>39</v>
      </c>
      <c r="D123" s="58"/>
      <c r="E123" s="91"/>
      <c r="F123" s="60"/>
      <c r="G123" s="62"/>
      <c r="H123" s="112"/>
      <c r="I123" s="16"/>
    </row>
    <row r="124" spans="1:12" ht="51">
      <c r="A124" s="10">
        <v>44</v>
      </c>
      <c r="B124" s="11"/>
      <c r="C124" s="11" t="s">
        <v>40</v>
      </c>
      <c r="D124" s="57" t="s">
        <v>29</v>
      </c>
      <c r="E124" s="100">
        <v>10.039999999999999</v>
      </c>
      <c r="F124" s="93"/>
      <c r="G124" s="83">
        <f>E124*F124</f>
        <v>0</v>
      </c>
      <c r="H124" s="116"/>
      <c r="I124" s="16"/>
    </row>
    <row r="125" spans="1:12" ht="51">
      <c r="A125" s="10">
        <v>45</v>
      </c>
      <c r="B125" s="11"/>
      <c r="C125" s="11" t="s">
        <v>41</v>
      </c>
      <c r="D125" s="57" t="s">
        <v>29</v>
      </c>
      <c r="E125" s="100">
        <v>14.8</v>
      </c>
      <c r="F125" s="93"/>
      <c r="G125" s="83">
        <f t="shared" ref="G125" si="27">E125*F125</f>
        <v>0</v>
      </c>
      <c r="H125" s="116"/>
      <c r="I125" s="16"/>
    </row>
    <row r="126" spans="1:12" s="76" customFormat="1" ht="25.5">
      <c r="A126" s="89" t="s">
        <v>58</v>
      </c>
      <c r="B126" s="74"/>
      <c r="C126" s="86" t="s">
        <v>27</v>
      </c>
      <c r="D126" s="57" t="s">
        <v>61</v>
      </c>
      <c r="E126" s="102">
        <v>1</v>
      </c>
      <c r="F126" s="59"/>
      <c r="G126" s="75"/>
      <c r="H126" s="117"/>
      <c r="L126" s="77"/>
    </row>
    <row r="127" spans="1:12" ht="89.25">
      <c r="A127" s="14"/>
      <c r="B127" s="15"/>
      <c r="C127" s="65" t="s">
        <v>28</v>
      </c>
      <c r="D127" s="58" t="s">
        <v>61</v>
      </c>
      <c r="E127" s="91">
        <f>E126</f>
        <v>1</v>
      </c>
      <c r="F127" s="92"/>
      <c r="G127" s="66">
        <f>E127*F127</f>
        <v>0</v>
      </c>
      <c r="H127" s="118"/>
      <c r="I127" s="16"/>
    </row>
    <row r="128" spans="1:12" s="72" customFormat="1" ht="20.45" customHeight="1">
      <c r="A128" s="36"/>
      <c r="B128" s="69"/>
      <c r="C128" s="70" t="s">
        <v>43</v>
      </c>
      <c r="D128" s="17" t="s">
        <v>23</v>
      </c>
      <c r="E128" s="103"/>
      <c r="F128" s="71"/>
      <c r="G128" s="37">
        <f>SUM(G12:G127)</f>
        <v>0</v>
      </c>
      <c r="I128" s="73"/>
    </row>
    <row r="129" spans="1:7">
      <c r="A129" s="1"/>
      <c r="B129" s="1"/>
      <c r="C129" s="18" t="s">
        <v>13</v>
      </c>
      <c r="D129" s="90">
        <v>0.02</v>
      </c>
      <c r="E129" s="104"/>
      <c r="F129" s="19"/>
      <c r="G129" s="38">
        <f>G128*D129</f>
        <v>0</v>
      </c>
    </row>
    <row r="130" spans="1:7">
      <c r="A130" s="2"/>
      <c r="B130" s="2"/>
      <c r="C130" s="20" t="s">
        <v>14</v>
      </c>
      <c r="D130" s="21"/>
      <c r="E130" s="105"/>
      <c r="F130" s="22"/>
      <c r="G130" s="39">
        <f>G128+G129</f>
        <v>0</v>
      </c>
    </row>
    <row r="131" spans="1:7">
      <c r="A131" s="1"/>
      <c r="B131" s="1"/>
      <c r="C131" s="18" t="s">
        <v>15</v>
      </c>
      <c r="D131" s="109">
        <v>0</v>
      </c>
      <c r="E131" s="104"/>
      <c r="F131" s="19"/>
      <c r="G131" s="38">
        <f>G130*D131</f>
        <v>0</v>
      </c>
    </row>
    <row r="132" spans="1:7">
      <c r="A132" s="2"/>
      <c r="B132" s="2"/>
      <c r="C132" s="20" t="s">
        <v>14</v>
      </c>
      <c r="D132" s="21"/>
      <c r="E132" s="105"/>
      <c r="F132" s="22"/>
      <c r="G132" s="39">
        <f>G130+G131</f>
        <v>0</v>
      </c>
    </row>
    <row r="133" spans="1:7">
      <c r="A133" s="1"/>
      <c r="B133" s="1"/>
      <c r="C133" s="18" t="s">
        <v>16</v>
      </c>
      <c r="D133" s="109">
        <v>0</v>
      </c>
      <c r="E133" s="104"/>
      <c r="F133" s="19"/>
      <c r="G133" s="38">
        <f>G132*D133</f>
        <v>0</v>
      </c>
    </row>
    <row r="134" spans="1:7" ht="24.6" customHeight="1">
      <c r="A134" s="3"/>
      <c r="B134" s="3"/>
      <c r="C134" s="122" t="s">
        <v>14</v>
      </c>
      <c r="D134" s="17" t="s">
        <v>23</v>
      </c>
      <c r="E134" s="106"/>
      <c r="F134" s="23"/>
      <c r="G134" s="40">
        <f>G132+G133</f>
        <v>0</v>
      </c>
    </row>
    <row r="135" spans="1:7" ht="21" customHeight="1">
      <c r="A135" s="4"/>
      <c r="B135" s="4"/>
      <c r="C135" s="123"/>
      <c r="D135" s="24" t="s">
        <v>21</v>
      </c>
      <c r="E135" s="110">
        <v>2.6</v>
      </c>
      <c r="F135" s="25"/>
      <c r="G135" s="41">
        <f>G134/E135</f>
        <v>0</v>
      </c>
    </row>
    <row r="136" spans="1:7">
      <c r="A136" s="1"/>
      <c r="B136" s="1"/>
      <c r="C136" s="18" t="s">
        <v>17</v>
      </c>
      <c r="D136" s="26">
        <v>0.18</v>
      </c>
      <c r="E136" s="104"/>
      <c r="F136" s="19"/>
      <c r="G136" s="38">
        <f>G134*D136</f>
        <v>0</v>
      </c>
    </row>
    <row r="137" spans="1:7" ht="19.149999999999999" customHeight="1">
      <c r="A137" s="3"/>
      <c r="B137" s="3"/>
      <c r="C137" s="122" t="s">
        <v>18</v>
      </c>
      <c r="D137" s="17" t="s">
        <v>23</v>
      </c>
      <c r="E137" s="106"/>
      <c r="F137" s="23"/>
      <c r="G137" s="40">
        <f>G134+G136</f>
        <v>0</v>
      </c>
    </row>
    <row r="138" spans="1:7" ht="17.45" customHeight="1">
      <c r="A138" s="4"/>
      <c r="B138" s="4"/>
      <c r="C138" s="123"/>
      <c r="D138" s="24" t="s">
        <v>21</v>
      </c>
      <c r="E138" s="110">
        <f>E135</f>
        <v>2.6</v>
      </c>
      <c r="F138" s="25"/>
      <c r="G138" s="41">
        <f>G137/E138</f>
        <v>0</v>
      </c>
    </row>
    <row r="141" spans="1:7">
      <c r="C141" s="34" t="s">
        <v>60</v>
      </c>
      <c r="D141" s="7" t="s">
        <v>59</v>
      </c>
    </row>
  </sheetData>
  <sheetProtection algorithmName="SHA-512" hashValue="9Z9nErwo/hVCJOOWMoNnNpv9q+DwdBfqh3nhvWMq13fqyOKLHRdsE/pDXsFJInFc9Yhp5JyVd8+/nhF9BIIjuQ==" saltValue="EuieRIwCWbTbfGlzaYvbpA==" spinCount="100000" sheet="1" objects="1" scenarios="1"/>
  <mergeCells count="4">
    <mergeCell ref="F9:G9"/>
    <mergeCell ref="C134:C135"/>
    <mergeCell ref="C137:C138"/>
    <mergeCell ref="A7:B7"/>
  </mergeCells>
  <phoneticPr fontId="16" type="noConversion"/>
  <printOptions horizontalCentered="1"/>
  <pageMargins left="0.27559055118110237" right="0.19685039370078741" top="0.47244094488188981" bottom="0.39370078740157483" header="0.19685039370078741" footer="0.19685039370078741"/>
  <pageSetup paperSize="9" fitToHeight="0" orientation="landscape" verticalDpi="1200" r:id="rId1"/>
  <headerFooter>
    <oddHeader>&amp;RПриложение 1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РВС №219</vt:lpstr>
      <vt:lpstr>'РВС №219'!Заголовки_для_печати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Vakhtang Mikashavidze</dc:creator>
  <cp:lastModifiedBy>Gurami Abashidze</cp:lastModifiedBy>
  <cp:lastPrinted>2023-03-14T13:15:29Z</cp:lastPrinted>
  <dcterms:created xsi:type="dcterms:W3CDTF">2020-05-29T05:14:06Z</dcterms:created>
  <dcterms:modified xsi:type="dcterms:W3CDTF">2023-03-21T12:44:26Z</dcterms:modified>
</cp:coreProperties>
</file>